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pa01/Desktop/Workspace/Triemli/"/>
    </mc:Choice>
  </mc:AlternateContent>
  <xr:revisionPtr revIDLastSave="0" documentId="8_{A4589F29-5F52-FF4F-BE6D-B81A940686A4}" xr6:coauthVersionLast="47" xr6:coauthVersionMax="47" xr10:uidLastSave="{00000000-0000-0000-0000-000000000000}"/>
  <bookViews>
    <workbookView xWindow="40" yWindow="500" windowWidth="28760" windowHeight="17500" xr2:uid="{00000000-000D-0000-FFFF-FFFF00000000}"/>
  </bookViews>
  <sheets>
    <sheet name="Graue Energie_CO2" sheetId="6" r:id="rId1"/>
    <sheet name="Betriebsenergie_CO2" sheetId="5" r:id="rId2"/>
    <sheet name="Impactvergleich" sheetId="7" r:id="rId3"/>
    <sheet name="C02 Budgets Zürich" sheetId="8" r:id="rId4"/>
  </sheets>
  <definedNames>
    <definedName name="_xlnm.Print_Area" localSheetId="2">Impactvergleich!$A$1:$X$33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7" l="1"/>
  <c r="T21" i="7"/>
  <c r="S22" i="7"/>
  <c r="S21" i="7"/>
  <c r="R22" i="7"/>
  <c r="R21" i="7"/>
  <c r="Q22" i="7"/>
  <c r="Q21" i="7"/>
  <c r="P22" i="7"/>
  <c r="P21" i="7"/>
  <c r="O22" i="7"/>
  <c r="O21" i="7"/>
  <c r="N22" i="7"/>
  <c r="N21" i="7"/>
  <c r="M22" i="7"/>
  <c r="M21" i="7"/>
  <c r="L22" i="7"/>
  <c r="L21" i="7"/>
  <c r="K22" i="7"/>
  <c r="K21" i="7"/>
  <c r="J22" i="7"/>
  <c r="J21" i="7"/>
  <c r="I22" i="7"/>
  <c r="I21" i="7"/>
  <c r="H22" i="7"/>
  <c r="H21" i="7"/>
  <c r="G22" i="7"/>
  <c r="G21" i="7"/>
  <c r="F22" i="7"/>
  <c r="F21" i="7"/>
  <c r="E22" i="7"/>
  <c r="E21" i="7"/>
  <c r="D22" i="7"/>
  <c r="D21" i="7"/>
  <c r="C22" i="7"/>
  <c r="C21" i="7"/>
  <c r="B22" i="7"/>
  <c r="B21" i="7"/>
  <c r="AR11" i="8"/>
  <c r="AR7" i="8"/>
  <c r="AP11" i="8"/>
  <c r="AP7" i="8"/>
  <c r="AN11" i="8"/>
  <c r="AN7" i="8"/>
  <c r="AL11" i="8"/>
  <c r="AL7" i="8"/>
  <c r="AJ11" i="8"/>
  <c r="AJ7" i="8"/>
  <c r="AH7" i="8"/>
  <c r="AH11" i="8"/>
  <c r="AF11" i="8"/>
  <c r="AF7" i="8"/>
  <c r="AD11" i="8"/>
  <c r="AB11" i="8"/>
  <c r="AD7" i="8"/>
  <c r="AB7" i="8"/>
  <c r="Z7" i="8"/>
  <c r="Z11" i="8"/>
  <c r="X11" i="8"/>
  <c r="AR9" i="8"/>
  <c r="AP9" i="8"/>
  <c r="AN9" i="8"/>
  <c r="AL9" i="8"/>
  <c r="AJ9" i="8"/>
  <c r="AH9" i="8"/>
  <c r="AF9" i="8"/>
  <c r="AD9" i="8"/>
  <c r="AB9" i="8"/>
  <c r="Z9" i="8"/>
  <c r="AR5" i="8"/>
  <c r="AP5" i="8"/>
  <c r="AN5" i="8"/>
  <c r="AL5" i="8"/>
  <c r="AJ5" i="8"/>
  <c r="AH5" i="8"/>
  <c r="AF5" i="8"/>
  <c r="AD5" i="8"/>
  <c r="AB5" i="8"/>
  <c r="Z5" i="8"/>
  <c r="X5" i="8"/>
  <c r="D9" i="8"/>
  <c r="D5" i="8"/>
  <c r="F5" i="8"/>
  <c r="Y5" i="8"/>
  <c r="X7" i="8"/>
  <c r="V11" i="8"/>
  <c r="T11" i="8"/>
  <c r="R11" i="8"/>
  <c r="P11" i="8"/>
  <c r="N11" i="8"/>
  <c r="L11" i="8"/>
  <c r="J11" i="8"/>
  <c r="J9" i="8"/>
  <c r="H11" i="8"/>
  <c r="F11" i="8"/>
  <c r="D11" i="8"/>
  <c r="D7" i="8"/>
  <c r="AQ9" i="8"/>
  <c r="AO9" i="8"/>
  <c r="AM9" i="8"/>
  <c r="AK9" i="8"/>
  <c r="AI9" i="8"/>
  <c r="AG9" i="8"/>
  <c r="AE9" i="8"/>
  <c r="AC9" i="8"/>
  <c r="AA9" i="8"/>
  <c r="Y9" i="8"/>
  <c r="W9" i="8"/>
  <c r="U9" i="8"/>
  <c r="S9" i="8"/>
  <c r="Q9" i="8"/>
  <c r="O9" i="8"/>
  <c r="M9" i="8"/>
  <c r="K9" i="8"/>
  <c r="I9" i="8"/>
  <c r="G9" i="8"/>
  <c r="E9" i="8"/>
  <c r="AQ5" i="8"/>
  <c r="AO5" i="8"/>
  <c r="AM5" i="8"/>
  <c r="AK5" i="8"/>
  <c r="AI5" i="8"/>
  <c r="AG5" i="8"/>
  <c r="AE5" i="8"/>
  <c r="AC5" i="8"/>
  <c r="AA5" i="8"/>
  <c r="W5" i="8"/>
  <c r="U5" i="8"/>
  <c r="S5" i="8"/>
  <c r="Q5" i="8"/>
  <c r="O5" i="8"/>
  <c r="M5" i="8"/>
  <c r="K5" i="8"/>
  <c r="I5" i="8"/>
  <c r="G5" i="8"/>
  <c r="E5" i="8"/>
  <c r="R5" i="8"/>
  <c r="H5" i="8"/>
  <c r="D28" i="7"/>
  <c r="C81" i="5"/>
  <c r="B16" i="7"/>
  <c r="D38" i="7"/>
  <c r="E38" i="7" s="1"/>
  <c r="F38" i="7" s="1"/>
  <c r="G38" i="7" s="1"/>
  <c r="H38" i="7" s="1"/>
  <c r="X24" i="7"/>
  <c r="F37" i="7"/>
  <c r="E37" i="7"/>
  <c r="B36" i="7"/>
  <c r="C24" i="7"/>
  <c r="D24" i="7" s="1"/>
  <c r="B4" i="7"/>
  <c r="C8" i="6"/>
  <c r="B7" i="7"/>
  <c r="K39" i="7"/>
  <c r="L39" i="7" s="1"/>
  <c r="M39" i="7" s="1"/>
  <c r="N39" i="7" s="1"/>
  <c r="O39" i="7" s="1"/>
  <c r="P39" i="7" s="1"/>
  <c r="Q39" i="7" s="1"/>
  <c r="R39" i="7" s="1"/>
  <c r="S39" i="7" s="1"/>
  <c r="T39" i="7" s="1"/>
  <c r="K31" i="7"/>
  <c r="L31" i="7" s="1"/>
  <c r="M31" i="7" s="1"/>
  <c r="N31" i="7" s="1"/>
  <c r="O31" i="7" s="1"/>
  <c r="P31" i="7" s="1"/>
  <c r="Q31" i="7" s="1"/>
  <c r="R31" i="7" s="1"/>
  <c r="S31" i="7" s="1"/>
  <c r="T31" i="7" s="1"/>
  <c r="B28" i="7"/>
  <c r="C78" i="5"/>
  <c r="C79" i="5" s="1"/>
  <c r="B11" i="7" s="1"/>
  <c r="C74" i="5"/>
  <c r="C75" i="5" s="1"/>
  <c r="C76" i="5" s="1"/>
  <c r="D31" i="6"/>
  <c r="G31" i="6" s="1"/>
  <c r="H31" i="6" s="1"/>
  <c r="E25" i="6"/>
  <c r="D30" i="6"/>
  <c r="E30" i="6" s="1"/>
  <c r="D29" i="6"/>
  <c r="G29" i="6" s="1"/>
  <c r="H29" i="6" s="1"/>
  <c r="D27" i="6"/>
  <c r="G27" i="6" s="1"/>
  <c r="H27" i="6" s="1"/>
  <c r="D26" i="6"/>
  <c r="G26" i="6" s="1"/>
  <c r="H26" i="6" s="1"/>
  <c r="D25" i="6"/>
  <c r="G25" i="6" s="1"/>
  <c r="H25" i="6" s="1"/>
  <c r="D8" i="6"/>
  <c r="D12" i="6" s="1"/>
  <c r="D13" i="6" s="1"/>
  <c r="B10" i="6"/>
  <c r="B11" i="6"/>
  <c r="B6" i="6"/>
  <c r="B7" i="6"/>
  <c r="B9" i="6"/>
  <c r="B18" i="6"/>
  <c r="B19" i="6"/>
  <c r="U39" i="7" l="1"/>
  <c r="U31" i="7"/>
  <c r="E28" i="7"/>
  <c r="F28" i="7" s="1"/>
  <c r="G28" i="7" s="1"/>
  <c r="H28" i="7" s="1"/>
  <c r="I28" i="7" s="1"/>
  <c r="J28" i="7" s="1"/>
  <c r="K28" i="7" s="1"/>
  <c r="S28" i="7" s="1"/>
  <c r="X6" i="8"/>
  <c r="P5" i="8"/>
  <c r="P7" i="8" s="1"/>
  <c r="J5" i="8"/>
  <c r="V9" i="8"/>
  <c r="V5" i="8"/>
  <c r="P6" i="8"/>
  <c r="R7" i="8"/>
  <c r="R6" i="8"/>
  <c r="H7" i="8"/>
  <c r="H6" i="8"/>
  <c r="J6" i="8"/>
  <c r="J7" i="8"/>
  <c r="H9" i="8"/>
  <c r="R9" i="8"/>
  <c r="X9" i="8"/>
  <c r="P9" i="8"/>
  <c r="E31" i="6"/>
  <c r="C12" i="6"/>
  <c r="C13" i="6" s="1"/>
  <c r="E27" i="6"/>
  <c r="D15" i="6"/>
  <c r="G37" i="7"/>
  <c r="E24" i="7"/>
  <c r="L28" i="7"/>
  <c r="T28" i="7" s="1"/>
  <c r="X32" i="7" s="1"/>
  <c r="E26" i="6"/>
  <c r="E29" i="6"/>
  <c r="G30" i="6"/>
  <c r="H30" i="6" s="1"/>
  <c r="H32" i="6" s="1"/>
  <c r="D14" i="6"/>
  <c r="D21" i="6" s="1"/>
  <c r="B8" i="6"/>
  <c r="B12" i="6" s="1"/>
  <c r="P28" i="7" l="1"/>
  <c r="Q28" i="7"/>
  <c r="R28" i="7"/>
  <c r="F9" i="8"/>
  <c r="L5" i="8"/>
  <c r="L9" i="8"/>
  <c r="P10" i="8"/>
  <c r="N9" i="8"/>
  <c r="N5" i="8"/>
  <c r="T9" i="8"/>
  <c r="T5" i="8"/>
  <c r="V6" i="8"/>
  <c r="V7" i="8"/>
  <c r="H10" i="8"/>
  <c r="X10" i="8"/>
  <c r="R10" i="8"/>
  <c r="J10" i="8"/>
  <c r="V10" i="8"/>
  <c r="H33" i="6"/>
  <c r="H34" i="6" s="1"/>
  <c r="E32" i="6"/>
  <c r="C15" i="6"/>
  <c r="C14" i="6"/>
  <c r="C21" i="6" s="1"/>
  <c r="H21" i="6" s="1"/>
  <c r="L38" i="7"/>
  <c r="F24" i="7"/>
  <c r="M28" i="7"/>
  <c r="C36" i="7"/>
  <c r="T38" i="7"/>
  <c r="X40" i="7" s="1"/>
  <c r="B14" i="6"/>
  <c r="B13" i="6"/>
  <c r="B21" i="6" s="1"/>
  <c r="D36" i="7" l="1"/>
  <c r="U36" i="7"/>
  <c r="G24" i="7"/>
  <c r="L10" i="8"/>
  <c r="T6" i="8"/>
  <c r="T7" i="8"/>
  <c r="D6" i="8"/>
  <c r="D10" i="8"/>
  <c r="L7" i="8"/>
  <c r="L6" i="8"/>
  <c r="F6" i="8"/>
  <c r="F7" i="8"/>
  <c r="T10" i="8"/>
  <c r="F10" i="8"/>
  <c r="N7" i="8"/>
  <c r="N6" i="8"/>
  <c r="N10" i="8"/>
  <c r="B15" i="6"/>
  <c r="D74" i="5"/>
  <c r="B6" i="7"/>
  <c r="C29" i="7" s="1"/>
  <c r="U38" i="7"/>
  <c r="H24" i="7"/>
  <c r="N28" i="7"/>
  <c r="B8" i="7" l="1"/>
  <c r="B12" i="7"/>
  <c r="B18" i="7"/>
  <c r="D37" i="7" s="1"/>
  <c r="U37" i="7" s="1"/>
  <c r="U29" i="7"/>
  <c r="U40" i="7"/>
  <c r="D75" i="5"/>
  <c r="D78" i="5"/>
  <c r="E78" i="5" s="1"/>
  <c r="E74" i="5"/>
  <c r="O28" i="7"/>
  <c r="U28" i="7" s="1"/>
  <c r="I24" i="7"/>
  <c r="D76" i="5" l="1"/>
  <c r="E76" i="5" s="1"/>
  <c r="B9" i="7" s="1"/>
  <c r="B10" i="7" s="1"/>
  <c r="D79" i="5"/>
  <c r="E79" i="5" s="1"/>
  <c r="E75" i="5"/>
  <c r="J24" i="7"/>
  <c r="U24" i="7" s="1"/>
  <c r="B13" i="7" l="1"/>
  <c r="B14" i="7" s="1"/>
  <c r="E81" i="5"/>
  <c r="W24" i="7"/>
  <c r="V40" i="7"/>
  <c r="W40" i="7" s="1"/>
  <c r="K30" i="7"/>
  <c r="U30" i="7" s="1"/>
  <c r="U32" i="7" l="1"/>
  <c r="V32" i="7" l="1"/>
  <c r="W32" i="7" s="1"/>
</calcChain>
</file>

<file path=xl/sharedStrings.xml><?xml version="1.0" encoding="utf-8"?>
<sst xmlns="http://schemas.openxmlformats.org/spreadsheetml/2006/main" count="303" uniqueCount="125">
  <si>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</si>
  <si>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</si>
  <si>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</si>
  <si>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</si>
  <si>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</si>
  <si>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</si>
  <si>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</si>
  <si>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</si>
  <si>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</si>
  <si>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</si>
  <si>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</si>
  <si>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</si>
  <si>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 zähler 2021</t>
  </si>
  <si>
    <t>kWh</t>
  </si>
  <si>
    <t>Heizung LE Haus A</t>
  </si>
  <si>
    <t>Heizung Stat.Heiz. Haus A</t>
  </si>
  <si>
    <t>Elektro Haus A</t>
  </si>
  <si>
    <t>Monat im 2021</t>
  </si>
  <si>
    <t>Heizung Stat.Heiz. Haus B</t>
  </si>
  <si>
    <t>Heizung LE Haus B</t>
  </si>
  <si>
    <t>Elektro Haus B</t>
  </si>
  <si>
    <t>Heizung LE Haus C</t>
  </si>
  <si>
    <t>Heizung Stat.Heiz. Haus C</t>
  </si>
  <si>
    <t>Elektro Haus C</t>
  </si>
  <si>
    <t>BWW inkl. Zirkulation Haus A+B+C</t>
  </si>
  <si>
    <t>Mauerwerk</t>
  </si>
  <si>
    <t>Betonfertigteile</t>
  </si>
  <si>
    <t>Ortbeton</t>
  </si>
  <si>
    <t>m3</t>
  </si>
  <si>
    <t>EG</t>
  </si>
  <si>
    <t>1.OG</t>
  </si>
  <si>
    <t>2.OG-14.OG</t>
  </si>
  <si>
    <t>Sockel</t>
  </si>
  <si>
    <t>BGF R</t>
  </si>
  <si>
    <t>BGF S</t>
  </si>
  <si>
    <t>m2</t>
  </si>
  <si>
    <t>BGF R+S</t>
  </si>
  <si>
    <t xml:space="preserve"> </t>
  </si>
  <si>
    <t>UG 1</t>
  </si>
  <si>
    <t>UG 2</t>
  </si>
  <si>
    <t>Gesamt</t>
  </si>
  <si>
    <t>Sockel UG 1</t>
  </si>
  <si>
    <t>Sockel UG 2</t>
  </si>
  <si>
    <t>Dachterrasse</t>
  </si>
  <si>
    <t>Personalhaus A</t>
  </si>
  <si>
    <t>Areal Gesamt</t>
  </si>
  <si>
    <t>t</t>
  </si>
  <si>
    <t>t/m2 BGFR</t>
  </si>
  <si>
    <t>Gesamt Haus A</t>
  </si>
  <si>
    <t>Haus B analog</t>
  </si>
  <si>
    <t>kg/m3</t>
  </si>
  <si>
    <t>kg</t>
  </si>
  <si>
    <t>Türme oberirdisch</t>
  </si>
  <si>
    <t>Rohbau gesamt</t>
  </si>
  <si>
    <t xml:space="preserve">Sockelgeschoße </t>
  </si>
  <si>
    <t>Sockel-1</t>
  </si>
  <si>
    <t>Sockel-2</t>
  </si>
  <si>
    <t>Fundamente</t>
  </si>
  <si>
    <t>Gesamt kwh/a Wärme</t>
  </si>
  <si>
    <t>Gesamt kwh/a Strom</t>
  </si>
  <si>
    <t>BGFR</t>
  </si>
  <si>
    <t>/BGF</t>
  </si>
  <si>
    <t>kwh/m2 a</t>
  </si>
  <si>
    <t>kg/m2 a</t>
  </si>
  <si>
    <t>kg/m2BGF</t>
  </si>
  <si>
    <t>entsprich CO2 Emissionen im Mittel / m2 Nutzfläche</t>
  </si>
  <si>
    <t>kg/m2NFL</t>
  </si>
  <si>
    <t xml:space="preserve">Nutzfläche </t>
  </si>
  <si>
    <t>beheizte BGF</t>
  </si>
  <si>
    <t>Verbrauch Bestand Heizung im Mittel</t>
  </si>
  <si>
    <t>kwh/a</t>
  </si>
  <si>
    <t xml:space="preserve">Verbrauch Bestand Heizung im Mittel  / m2 BGF </t>
  </si>
  <si>
    <t>entsprich CO2 Emissionen im Mittel / m2 BGF</t>
  </si>
  <si>
    <t>Verbrauch Bestand Elektro im Mittel  / m2 BGF</t>
  </si>
  <si>
    <t>graue Energie Erstellung überschlägig</t>
  </si>
  <si>
    <t>graue Energie Abbruch überschlägig</t>
  </si>
  <si>
    <t>Einsparung</t>
  </si>
  <si>
    <t>Verbrauch/a</t>
  </si>
  <si>
    <t>%</t>
  </si>
  <si>
    <t>Aufwand graue Energie</t>
  </si>
  <si>
    <t>Umstellung auf regenerative Energieträger</t>
  </si>
  <si>
    <t xml:space="preserve">Photovoltaik mit Einspeisung als Kompensation </t>
  </si>
  <si>
    <t>t/a Gesamtemission</t>
  </si>
  <si>
    <t>Betriebsenergie Emissionen 2020 69t / a  entspricht in kg/m2 BGF</t>
  </si>
  <si>
    <t>Türme</t>
  </si>
  <si>
    <t>Verbrauch Bestand 2020</t>
  </si>
  <si>
    <t>entsprich CO2 Emissionen  / m2 BGF</t>
  </si>
  <si>
    <t>entsprich CO2 Emissionen  / m2 Nutzfläche</t>
  </si>
  <si>
    <t xml:space="preserve">kontinuierliche Umstellung der EMG auf 100% erneuerbar </t>
  </si>
  <si>
    <r>
      <rPr>
        <b/>
        <sz val="12"/>
        <color theme="1"/>
        <rFont val="Calibri"/>
        <family val="2"/>
        <scheme val="minor"/>
      </rPr>
      <t xml:space="preserve">Szenario B: </t>
    </r>
    <r>
      <rPr>
        <sz val="11"/>
        <color theme="1"/>
        <rFont val="Arial"/>
        <family val="2"/>
      </rPr>
      <t>Neubau MinergieP</t>
    </r>
  </si>
  <si>
    <t>Berechnung über m2 BGF:</t>
  </si>
  <si>
    <t>t CO2</t>
  </si>
  <si>
    <t>Berechnung über Bauteile:</t>
  </si>
  <si>
    <t xml:space="preserve">Material gesamt </t>
  </si>
  <si>
    <t>entspricht 228g/kwhCO2*bei Gasheizung</t>
  </si>
  <si>
    <t>entspricht 27g/kwhCO2*bei Strommix</t>
  </si>
  <si>
    <t>GWP in kgCO2-eq/kg*</t>
  </si>
  <si>
    <t>*Quelle Ecobau</t>
  </si>
  <si>
    <t>Zuschlag für Ausbau etwa 25% (Mischfaktor Sockel/Türme)</t>
  </si>
  <si>
    <t>spezifischer Kennwert graue Energie**</t>
  </si>
  <si>
    <t>** Quelle Vergleichsbauten Berechnungen nach SIA 2032</t>
  </si>
  <si>
    <t>*Quelle Energy-Group AG</t>
  </si>
  <si>
    <t>Klimaschutzziel der Stadt Zürich</t>
  </si>
  <si>
    <t>entspricht bei Reduktion 90% mit EMG*</t>
  </si>
  <si>
    <t xml:space="preserve"> CO2 Emission aus fossilen Energieträgern</t>
  </si>
  <si>
    <r>
      <t xml:space="preserve">Szenario A: Modernisierung mit </t>
    </r>
    <r>
      <rPr>
        <b/>
        <sz val="11"/>
        <color theme="1"/>
        <rFont val="Arial"/>
        <family val="2"/>
      </rPr>
      <t xml:space="preserve">Einsparung 30% &gt; 60 kwh/m2 a </t>
    </r>
  </si>
  <si>
    <t>Einwohner</t>
  </si>
  <si>
    <t>je EW in t</t>
  </si>
  <si>
    <t xml:space="preserve">Lörrach </t>
  </si>
  <si>
    <t>Zürich CO2 Budget in t</t>
  </si>
  <si>
    <t>** % Aufteilung nach Sektoren analog dem deutschen Klimaschutzgesetz / lineare Reduzierung bis 2040 gem. Klimabeschluss Zürich</t>
  </si>
  <si>
    <t>Mio t</t>
  </si>
  <si>
    <t xml:space="preserve">Bauwirtschaft** Schweiz </t>
  </si>
  <si>
    <t>Gebäude (Energieversorgung)** Schweiz</t>
  </si>
  <si>
    <t>Budget Zürich für Bauen in t</t>
  </si>
  <si>
    <t>Budget Zürich für Gebäudebetrieb in t</t>
  </si>
  <si>
    <t xml:space="preserve">Benchmark / Szenario 0: Bestand ohne Änderung, Emission entspricht 2020 </t>
  </si>
  <si>
    <t>Aufwand graue Energie*</t>
  </si>
  <si>
    <t>vereinfachte Annahme: Erstellung neu entspricht Erstellung Bestand</t>
  </si>
  <si>
    <t>Stadthotel Triemli: Betriebs-Energie und CO2-Emissionen</t>
  </si>
  <si>
    <t>Stadthotel Triemli: graue Energie und CO2</t>
  </si>
  <si>
    <t xml:space="preserve">Stadthotel Triemli: Vergleichender CO2-Impact unterschiedlicher Handlungsszenarien </t>
  </si>
  <si>
    <t>Stadthotel Triemli: CO2 Budgets Zürich</t>
  </si>
  <si>
    <t xml:space="preserve">* gem Angaben in www.showyourbudgets.org </t>
  </si>
  <si>
    <t>Schweiz*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</si>
</sst>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Helvetica Neue"/>
      <family val="2"/>
    </font>
    <font>
      <b/>
      <sz val="12"/>
      <color theme="1"/>
      <name val="Helvetica Neue"/>
      <family val="2"/>
    </font>
    <font>
      <b/>
      <sz val="11"/>
      <color theme="1"/>
      <name val="Helvetica Neue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Arial"/>
      <family val="2"/>
    </font>
    <font>
      <sz val="12"/>
      <color rgb="FF00B050"/>
      <name val="Calibri"/>
      <family val="2"/>
      <scheme val="minor"/>
    </font>
    <font>
      <i/>
      <sz val="11"/>
      <color theme="1"/>
      <name val="Helvetica Neue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3" fontId="9" fillId="0" borderId="0" xfId="0" applyNumberFormat="1" applyFont="1"/>
    <xf numFmtId="3" fontId="8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7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8" fillId="0" borderId="1" xfId="0" applyNumberFormat="1" applyFont="1" applyBorder="1"/>
    <xf numFmtId="3" fontId="8" fillId="0" borderId="2" xfId="0" applyNumberFormat="1" applyFont="1" applyBorder="1"/>
    <xf numFmtId="3" fontId="8" fillId="0" borderId="3" xfId="0" applyNumberFormat="1" applyFont="1" applyBorder="1"/>
    <xf numFmtId="3" fontId="8" fillId="0" borderId="0" xfId="0" applyNumberFormat="1" applyFont="1" applyAlignment="1">
      <alignment horizontal="right"/>
    </xf>
    <xf numFmtId="4" fontId="8" fillId="0" borderId="0" xfId="0" applyNumberFormat="1" applyFont="1"/>
    <xf numFmtId="4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13" fillId="0" borderId="0" xfId="2" applyFont="1"/>
    <xf numFmtId="0" fontId="4" fillId="0" borderId="0" xfId="2"/>
    <xf numFmtId="0" fontId="13" fillId="0" borderId="0" xfId="2" applyFont="1" applyAlignment="1">
      <alignment horizontal="right"/>
    </xf>
    <xf numFmtId="1" fontId="12" fillId="0" borderId="0" xfId="2" applyNumberFormat="1" applyFont="1"/>
    <xf numFmtId="0" fontId="12" fillId="0" borderId="0" xfId="2" applyFont="1"/>
    <xf numFmtId="164" fontId="12" fillId="0" borderId="0" xfId="2" applyNumberFormat="1" applyFont="1"/>
    <xf numFmtId="1" fontId="13" fillId="0" borderId="0" xfId="2" applyNumberFormat="1" applyFont="1" applyAlignment="1">
      <alignment horizontal="right"/>
    </xf>
    <xf numFmtId="2" fontId="12" fillId="0" borderId="0" xfId="2" applyNumberFormat="1" applyFont="1"/>
    <xf numFmtId="0" fontId="4" fillId="0" borderId="0" xfId="2" applyAlignment="1">
      <alignment horizontal="right"/>
    </xf>
    <xf numFmtId="0" fontId="4" fillId="0" borderId="6" xfId="2" applyBorder="1"/>
    <xf numFmtId="165" fontId="16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165" fontId="16" fillId="0" borderId="2" xfId="0" applyNumberFormat="1" applyFont="1" applyBorder="1"/>
    <xf numFmtId="0" fontId="0" fillId="0" borderId="3" xfId="0" applyBorder="1"/>
    <xf numFmtId="3" fontId="12" fillId="0" borderId="0" xfId="2" applyNumberFormat="1" applyFont="1"/>
    <xf numFmtId="3" fontId="4" fillId="0" borderId="0" xfId="2" applyNumberFormat="1"/>
    <xf numFmtId="3" fontId="11" fillId="0" borderId="0" xfId="2" applyNumberFormat="1" applyFont="1"/>
    <xf numFmtId="3" fontId="11" fillId="0" borderId="0" xfId="2" applyNumberFormat="1" applyFont="1" applyAlignment="1">
      <alignment horizontal="right"/>
    </xf>
    <xf numFmtId="3" fontId="14" fillId="0" borderId="4" xfId="2" applyNumberFormat="1" applyFont="1" applyBorder="1"/>
    <xf numFmtId="3" fontId="14" fillId="0" borderId="0" xfId="2" applyNumberFormat="1" applyFont="1"/>
    <xf numFmtId="3" fontId="14" fillId="0" borderId="0" xfId="3" applyNumberFormat="1" applyFont="1"/>
    <xf numFmtId="3" fontId="15" fillId="2" borderId="4" xfId="2" applyNumberFormat="1" applyFont="1" applyFill="1" applyBorder="1"/>
    <xf numFmtId="3" fontId="15" fillId="0" borderId="0" xfId="2" applyNumberFormat="1" applyFont="1"/>
    <xf numFmtId="3" fontId="14" fillId="0" borderId="0" xfId="2" applyNumberFormat="1" applyFont="1" applyAlignment="1">
      <alignment horizontal="right"/>
    </xf>
    <xf numFmtId="9" fontId="14" fillId="0" borderId="0" xfId="4" applyFont="1" applyAlignment="1">
      <alignment horizontal="right"/>
    </xf>
    <xf numFmtId="3" fontId="8" fillId="0" borderId="5" xfId="0" applyNumberFormat="1" applyFont="1" applyBorder="1"/>
    <xf numFmtId="3" fontId="8" fillId="0" borderId="6" xfId="0" applyNumberFormat="1" applyFont="1" applyBorder="1"/>
    <xf numFmtId="3" fontId="0" fillId="0" borderId="6" xfId="0" applyNumberFormat="1" applyBorder="1" applyAlignment="1">
      <alignment horizontal="right"/>
    </xf>
    <xf numFmtId="3" fontId="10" fillId="0" borderId="5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0" fillId="0" borderId="6" xfId="0" applyNumberFormat="1" applyBorder="1"/>
    <xf numFmtId="3" fontId="7" fillId="0" borderId="7" xfId="0" applyNumberFormat="1" applyFont="1" applyBorder="1"/>
    <xf numFmtId="3" fontId="18" fillId="0" borderId="0" xfId="0" applyNumberFormat="1" applyFont="1"/>
    <xf numFmtId="0" fontId="2" fillId="0" borderId="5" xfId="2" applyFont="1" applyBorder="1" applyAlignment="1">
      <alignment horizontal="right"/>
    </xf>
    <xf numFmtId="3" fontId="15" fillId="2" borderId="0" xfId="2" applyNumberFormat="1" applyFont="1" applyFill="1"/>
    <xf numFmtId="3" fontId="11" fillId="0" borderId="7" xfId="2" applyNumberFormat="1" applyFont="1" applyBorder="1"/>
    <xf numFmtId="0" fontId="11" fillId="0" borderId="5" xfId="2" applyFont="1" applyBorder="1" applyAlignment="1">
      <alignment horizontal="right"/>
    </xf>
    <xf numFmtId="1" fontId="4" fillId="0" borderId="6" xfId="2" applyNumberFormat="1" applyBorder="1"/>
    <xf numFmtId="0" fontId="11" fillId="0" borderId="8" xfId="2" applyFont="1" applyBorder="1" applyAlignment="1">
      <alignment horizontal="right"/>
    </xf>
    <xf numFmtId="1" fontId="4" fillId="0" borderId="9" xfId="2" applyNumberFormat="1" applyBorder="1"/>
    <xf numFmtId="0" fontId="4" fillId="0" borderId="10" xfId="2" applyBorder="1" applyAlignment="1">
      <alignment horizontal="right"/>
    </xf>
    <xf numFmtId="1" fontId="4" fillId="0" borderId="0" xfId="2" applyNumberFormat="1"/>
    <xf numFmtId="0" fontId="17" fillId="0" borderId="0" xfId="2" applyFont="1"/>
    <xf numFmtId="0" fontId="3" fillId="0" borderId="0" xfId="2" applyFont="1"/>
    <xf numFmtId="0" fontId="4" fillId="0" borderId="11" xfId="2" applyBorder="1" applyAlignment="1">
      <alignment horizontal="right"/>
    </xf>
    <xf numFmtId="0" fontId="4" fillId="0" borderId="12" xfId="2" applyBorder="1"/>
    <xf numFmtId="9" fontId="14" fillId="0" borderId="12" xfId="2" applyNumberFormat="1" applyFont="1" applyBorder="1"/>
    <xf numFmtId="0" fontId="3" fillId="0" borderId="8" xfId="2" applyFont="1" applyBorder="1" applyAlignment="1">
      <alignment horizontal="right"/>
    </xf>
    <xf numFmtId="3" fontId="14" fillId="0" borderId="4" xfId="2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" fillId="0" borderId="0" xfId="2" applyFont="1" applyAlignment="1">
      <alignment horizontal="right"/>
    </xf>
    <xf numFmtId="0" fontId="1" fillId="0" borderId="0" xfId="5"/>
    <xf numFmtId="0" fontId="1" fillId="3" borderId="0" xfId="5" applyFill="1"/>
    <xf numFmtId="2" fontId="1" fillId="0" borderId="0" xfId="5" applyNumberFormat="1"/>
    <xf numFmtId="0" fontId="1" fillId="4" borderId="0" xfId="5" applyFill="1"/>
    <xf numFmtId="3" fontId="1" fillId="4" borderId="0" xfId="5" applyNumberFormat="1" applyFill="1"/>
    <xf numFmtId="3" fontId="1" fillId="0" borderId="0" xfId="5" applyNumberFormat="1"/>
    <xf numFmtId="10" fontId="0" fillId="0" borderId="0" xfId="6" applyNumberFormat="1" applyFont="1"/>
    <xf numFmtId="0" fontId="1" fillId="5" borderId="0" xfId="5" applyFill="1"/>
    <xf numFmtId="3" fontId="1" fillId="5" borderId="0" xfId="5" applyNumberFormat="1" applyFill="1"/>
    <xf numFmtId="0" fontId="11" fillId="0" borderId="0" xfId="5" applyFont="1"/>
    <xf numFmtId="0" fontId="1" fillId="0" borderId="0" xfId="5" applyAlignment="1">
      <alignment horizontal="right"/>
    </xf>
    <xf numFmtId="3" fontId="11" fillId="0" borderId="0" xfId="5" applyNumberFormat="1" applyFont="1"/>
    <xf numFmtId="3" fontId="11" fillId="5" borderId="0" xfId="5" applyNumberFormat="1" applyFont="1" applyFill="1"/>
    <xf numFmtId="2" fontId="11" fillId="0" borderId="0" xfId="5" applyNumberFormat="1" applyFont="1"/>
    <xf numFmtId="3" fontId="12" fillId="0" borderId="0" xfId="2" applyNumberFormat="1" applyFont="1" applyAlignment="1">
      <alignment horizontal="right"/>
    </xf>
    <xf numFmtId="3" fontId="13" fillId="0" borderId="0" xfId="2" applyNumberFormat="1" applyFont="1"/>
    <xf numFmtId="0" fontId="1" fillId="0" borderId="10" xfId="2" applyFont="1" applyBorder="1" applyAlignment="1">
      <alignment horizontal="right"/>
    </xf>
    <xf numFmtId="0" fontId="1" fillId="5" borderId="0" xfId="5" applyFill="1" applyAlignment="1">
      <alignment horizontal="right"/>
    </xf>
  </cellXfs>
  <cellStyles count="7">
    <cellStyle name="Prozent" xfId="4" builtinId="5"/>
    <cellStyle name="Prozent 2" xfId="3" xr:uid="{1A5BA6F0-3493-1C47-937C-20C082B909B4}"/>
    <cellStyle name="Prozent 3" xfId="6" xr:uid="{696FCCA3-6B8E-3440-B2AA-93D37D82BACB}"/>
    <cellStyle name="Standard" xfId="0" builtinId="0"/>
    <cellStyle name="Standard 2" xfId="2" xr:uid="{41C71751-D423-6941-9C98-1645DA287480}"/>
    <cellStyle name="Standard 3" xfId="5" xr:uid="{7F2325EA-225E-C24B-ABBC-3FBE5B2655EC}"/>
    <cellStyle name="Standard 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F4AEC-FA8A-DB44-B169-517F54D43AB8}">
  <dimension ref="A1:I62"/>
  <sheetViews>
    <sheetView tabSelected="1" zoomScale="110" zoomScaleNormal="98" workbookViewId="0">
      <selection activeCell="H8" sqref="H8"/>
    </sheetView>
  </sheetViews>
  <sheetFormatPr baseColWidth="10" defaultRowHeight="14" x14ac:dyDescent="0.15"/>
  <cols>
    <col min="1" max="1" width="27.6640625" style="6" bestFit="1" customWidth="1"/>
    <col min="2" max="2" width="13" style="6" customWidth="1"/>
    <col min="3" max="3" width="13.6640625" style="6" customWidth="1"/>
    <col min="4" max="4" width="13.6640625" style="6" bestFit="1" customWidth="1"/>
    <col min="5" max="16384" width="10.83203125" style="6"/>
  </cols>
  <sheetData>
    <row r="1" spans="1:9" ht="16" x14ac:dyDescent="0.2">
      <c r="A1" s="4" t="s">
        <v>120</v>
      </c>
      <c r="B1" s="5"/>
      <c r="C1" s="5"/>
      <c r="D1" s="5"/>
      <c r="E1" s="5"/>
      <c r="G1" s="7" t="s">
        <v>99</v>
      </c>
      <c r="H1" s="16">
        <v>0.4</v>
      </c>
      <c r="I1" s="6" t="s">
        <v>47</v>
      </c>
    </row>
    <row r="2" spans="1:9" x14ac:dyDescent="0.15">
      <c r="A2" s="6" t="s">
        <v>37</v>
      </c>
    </row>
    <row r="4" spans="1:9" x14ac:dyDescent="0.15">
      <c r="A4" s="5"/>
      <c r="B4" s="9" t="s">
        <v>36</v>
      </c>
      <c r="C4" s="9" t="s">
        <v>33</v>
      </c>
      <c r="D4" s="9" t="s">
        <v>34</v>
      </c>
      <c r="E4" s="5"/>
      <c r="F4" s="5"/>
    </row>
    <row r="5" spans="1:9" x14ac:dyDescent="0.15">
      <c r="A5" s="9" t="s">
        <v>44</v>
      </c>
      <c r="B5" s="10" t="s">
        <v>35</v>
      </c>
      <c r="C5" s="10" t="s">
        <v>35</v>
      </c>
      <c r="D5" s="10" t="s">
        <v>35</v>
      </c>
      <c r="E5" s="5"/>
      <c r="F5" s="5"/>
    </row>
    <row r="6" spans="1:9" x14ac:dyDescent="0.15">
      <c r="A6" s="5" t="s">
        <v>29</v>
      </c>
      <c r="B6" s="5">
        <f t="shared" ref="B6:B7" si="0">C6+D6</f>
        <v>545.15</v>
      </c>
      <c r="C6" s="5">
        <v>490.3</v>
      </c>
      <c r="D6" s="5">
        <v>54.85</v>
      </c>
      <c r="E6" s="5"/>
      <c r="F6" s="5"/>
    </row>
    <row r="7" spans="1:9" x14ac:dyDescent="0.15">
      <c r="A7" s="5" t="s">
        <v>30</v>
      </c>
      <c r="B7" s="5">
        <f t="shared" si="0"/>
        <v>411.70000000000005</v>
      </c>
      <c r="C7" s="5">
        <v>356.85</v>
      </c>
      <c r="D7" s="5">
        <v>54.85</v>
      </c>
      <c r="E7" s="5"/>
      <c r="F7" s="5"/>
    </row>
    <row r="8" spans="1:9" x14ac:dyDescent="0.15">
      <c r="A8" s="5" t="s">
        <v>31</v>
      </c>
      <c r="B8" s="5">
        <f>C8+D8</f>
        <v>7086.9500000000007</v>
      </c>
      <c r="C8" s="5">
        <f>490.3*13</f>
        <v>6373.9000000000005</v>
      </c>
      <c r="D8" s="5">
        <f>54.85*13</f>
        <v>713.05000000000007</v>
      </c>
      <c r="E8" s="5"/>
      <c r="F8" s="5"/>
    </row>
    <row r="9" spans="1:9" x14ac:dyDescent="0.15">
      <c r="A9" s="5" t="s">
        <v>43</v>
      </c>
      <c r="B9" s="5">
        <f>C9+D9</f>
        <v>545.15</v>
      </c>
      <c r="C9" s="5">
        <v>160.5</v>
      </c>
      <c r="D9" s="5">
        <v>384.65</v>
      </c>
      <c r="E9" s="5"/>
      <c r="F9" s="5"/>
    </row>
    <row r="10" spans="1:9" x14ac:dyDescent="0.15">
      <c r="A10" s="5" t="s">
        <v>38</v>
      </c>
      <c r="B10" s="5">
        <f t="shared" ref="B10:B11" si="1">C10+D10</f>
        <v>512</v>
      </c>
      <c r="C10" s="5">
        <v>512</v>
      </c>
      <c r="D10" s="5">
        <v>0</v>
      </c>
      <c r="E10" s="5"/>
      <c r="F10" s="5"/>
    </row>
    <row r="11" spans="1:9" x14ac:dyDescent="0.15">
      <c r="A11" s="5" t="s">
        <v>39</v>
      </c>
      <c r="B11" s="5">
        <f t="shared" si="1"/>
        <v>512</v>
      </c>
      <c r="C11" s="5">
        <v>512</v>
      </c>
      <c r="D11" s="5">
        <v>0</v>
      </c>
      <c r="E11" s="5"/>
      <c r="F11" s="5"/>
      <c r="G11" s="8"/>
    </row>
    <row r="12" spans="1:9" x14ac:dyDescent="0.15">
      <c r="A12" s="11" t="s">
        <v>48</v>
      </c>
      <c r="B12" s="12">
        <f>SUM(B6:B11)</f>
        <v>9612.9500000000007</v>
      </c>
      <c r="C12" s="12">
        <f>SUM(C6:C11)</f>
        <v>8405.5500000000011</v>
      </c>
      <c r="D12" s="13">
        <f>SUM(D6:D11)</f>
        <v>1207.4000000000001</v>
      </c>
      <c r="E12" s="5"/>
      <c r="F12" s="5"/>
    </row>
    <row r="13" spans="1:9" x14ac:dyDescent="0.15">
      <c r="A13" s="11" t="s">
        <v>49</v>
      </c>
      <c r="B13" s="12">
        <f>B12</f>
        <v>9612.9500000000007</v>
      </c>
      <c r="C13" s="12">
        <f t="shared" ref="C13:D13" si="2">C12</f>
        <v>8405.5500000000011</v>
      </c>
      <c r="D13" s="13">
        <f t="shared" si="2"/>
        <v>1207.4000000000001</v>
      </c>
      <c r="E13" s="5"/>
      <c r="F13" s="5"/>
    </row>
    <row r="14" spans="1:9" x14ac:dyDescent="0.15">
      <c r="A14" s="11" t="s">
        <v>49</v>
      </c>
      <c r="B14" s="12">
        <f>B12</f>
        <v>9612.9500000000007</v>
      </c>
      <c r="C14" s="12">
        <f t="shared" ref="C14:D14" si="3">C12</f>
        <v>8405.5500000000011</v>
      </c>
      <c r="D14" s="13">
        <f t="shared" si="3"/>
        <v>1207.4000000000001</v>
      </c>
      <c r="E14" s="5"/>
      <c r="F14" s="5"/>
    </row>
    <row r="15" spans="1:9" x14ac:dyDescent="0.15">
      <c r="A15" s="9" t="s">
        <v>84</v>
      </c>
      <c r="B15" s="5">
        <f>B14+B13+B12</f>
        <v>28838.850000000002</v>
      </c>
      <c r="C15" s="9">
        <f>C6+C7+C8+C12+C13</f>
        <v>24032.15</v>
      </c>
      <c r="D15" s="5">
        <f>D6+D7+D8+D12+D13</f>
        <v>3237.55</v>
      </c>
      <c r="E15" s="5"/>
      <c r="F15" s="5"/>
      <c r="I15" s="8"/>
    </row>
    <row r="16" spans="1:9" x14ac:dyDescent="0.15">
      <c r="A16" s="5"/>
      <c r="B16" s="5"/>
      <c r="C16" s="5"/>
      <c r="D16" s="5"/>
      <c r="E16" s="9"/>
      <c r="F16" s="9"/>
    </row>
    <row r="17" spans="1:9" x14ac:dyDescent="0.15">
      <c r="A17" s="9" t="s">
        <v>32</v>
      </c>
      <c r="B17" s="5"/>
      <c r="C17" s="5"/>
      <c r="D17" s="5"/>
      <c r="E17" s="5"/>
      <c r="F17" s="5"/>
    </row>
    <row r="18" spans="1:9" x14ac:dyDescent="0.15">
      <c r="A18" s="11" t="s">
        <v>41</v>
      </c>
      <c r="B18" s="12">
        <f>C18+D18</f>
        <v>4861.3500000000004</v>
      </c>
      <c r="C18" s="12">
        <v>4351</v>
      </c>
      <c r="D18" s="13">
        <v>510.35</v>
      </c>
      <c r="E18" s="5"/>
      <c r="F18" s="5"/>
    </row>
    <row r="19" spans="1:9" x14ac:dyDescent="0.15">
      <c r="A19" s="11" t="s">
        <v>42</v>
      </c>
      <c r="B19" s="12">
        <f>C19+D19</f>
        <v>3912</v>
      </c>
      <c r="C19" s="12">
        <v>3912</v>
      </c>
      <c r="D19" s="13">
        <v>0</v>
      </c>
      <c r="E19" s="5"/>
      <c r="F19" s="5"/>
    </row>
    <row r="20" spans="1:9" ht="15" thickBot="1" x14ac:dyDescent="0.2">
      <c r="A20" s="5"/>
      <c r="B20" s="5"/>
      <c r="C20" s="5"/>
      <c r="D20" s="5"/>
      <c r="E20" s="5"/>
      <c r="F20" s="5"/>
    </row>
    <row r="21" spans="1:9" ht="15" thickBot="1" x14ac:dyDescent="0.2">
      <c r="A21" s="9" t="s">
        <v>45</v>
      </c>
      <c r="B21" s="5">
        <f>B12+B18+B19+B13+B14</f>
        <v>37612.200000000004</v>
      </c>
      <c r="C21" s="9">
        <f>C12+C13+C14+C18+C19</f>
        <v>33479.65</v>
      </c>
      <c r="D21" s="5">
        <f>D12+D13+D14+D18+D19</f>
        <v>4132.55</v>
      </c>
      <c r="E21" s="44"/>
      <c r="F21" s="49"/>
      <c r="G21" s="46" t="s">
        <v>90</v>
      </c>
      <c r="H21" s="50">
        <f>C21*H1</f>
        <v>13391.86</v>
      </c>
      <c r="I21" s="6" t="s">
        <v>91</v>
      </c>
    </row>
    <row r="22" spans="1:9" x14ac:dyDescent="0.15">
      <c r="A22" s="5"/>
      <c r="B22" s="5"/>
      <c r="C22" s="5"/>
      <c r="D22" s="5"/>
      <c r="E22" s="5"/>
      <c r="F22" s="5"/>
    </row>
    <row r="23" spans="1:9" x14ac:dyDescent="0.15">
      <c r="A23" s="9" t="s">
        <v>93</v>
      </c>
      <c r="B23" s="10" t="s">
        <v>28</v>
      </c>
      <c r="C23" s="5" t="s">
        <v>50</v>
      </c>
      <c r="D23" s="6" t="s">
        <v>51</v>
      </c>
      <c r="E23" s="5" t="s">
        <v>46</v>
      </c>
      <c r="F23" s="5" t="s">
        <v>96</v>
      </c>
      <c r="H23" s="6" t="s">
        <v>46</v>
      </c>
    </row>
    <row r="24" spans="1:9" x14ac:dyDescent="0.15">
      <c r="A24" s="9" t="s">
        <v>52</v>
      </c>
      <c r="B24" s="10"/>
      <c r="C24" s="5"/>
      <c r="E24" s="5"/>
      <c r="F24" s="5"/>
    </row>
    <row r="25" spans="1:9" x14ac:dyDescent="0.15">
      <c r="A25" s="5" t="s">
        <v>26</v>
      </c>
      <c r="B25" s="5">
        <v>2500</v>
      </c>
      <c r="C25" s="5">
        <v>2770</v>
      </c>
      <c r="D25" s="6">
        <f>C25*B25</f>
        <v>6925000</v>
      </c>
      <c r="E25" s="5">
        <f>D25/1000</f>
        <v>6925</v>
      </c>
      <c r="F25" s="15">
        <v>0.36</v>
      </c>
      <c r="G25" s="6">
        <f>D25*F25</f>
        <v>2493000</v>
      </c>
      <c r="H25" s="8">
        <f>G25/1000</f>
        <v>2493</v>
      </c>
    </row>
    <row r="26" spans="1:9" x14ac:dyDescent="0.15">
      <c r="A26" s="5" t="s">
        <v>27</v>
      </c>
      <c r="B26" s="5">
        <v>3400</v>
      </c>
      <c r="C26" s="5">
        <v>2500</v>
      </c>
      <c r="D26" s="6">
        <f>C26*B26</f>
        <v>8500000</v>
      </c>
      <c r="E26" s="5">
        <f>D26/1000</f>
        <v>8500</v>
      </c>
      <c r="F26" s="15">
        <v>0.2</v>
      </c>
      <c r="G26" s="6">
        <f>D26*F26</f>
        <v>1700000</v>
      </c>
      <c r="H26" s="8">
        <f t="shared" ref="H26:H27" si="4">G26/1000</f>
        <v>1700</v>
      </c>
    </row>
    <row r="27" spans="1:9" x14ac:dyDescent="0.15">
      <c r="A27" s="5" t="s">
        <v>25</v>
      </c>
      <c r="B27" s="5">
        <v>1100</v>
      </c>
      <c r="C27" s="5">
        <v>800</v>
      </c>
      <c r="D27" s="6">
        <f>C27*B27</f>
        <v>880000</v>
      </c>
      <c r="E27" s="5">
        <f>D27/1000</f>
        <v>880</v>
      </c>
      <c r="F27" s="15">
        <v>0.19</v>
      </c>
      <c r="G27" s="6">
        <f>D27*F27</f>
        <v>167200</v>
      </c>
      <c r="H27" s="8">
        <f t="shared" si="4"/>
        <v>167.2</v>
      </c>
    </row>
    <row r="28" spans="1:9" x14ac:dyDescent="0.15">
      <c r="A28" s="9" t="s">
        <v>54</v>
      </c>
      <c r="B28" s="5"/>
      <c r="C28" s="5"/>
      <c r="E28" s="5"/>
      <c r="F28" s="15"/>
      <c r="H28" s="8"/>
    </row>
    <row r="29" spans="1:9" x14ac:dyDescent="0.15">
      <c r="A29" s="6" t="s">
        <v>55</v>
      </c>
      <c r="B29" s="5">
        <v>4844</v>
      </c>
      <c r="C29" s="5">
        <v>2500</v>
      </c>
      <c r="D29" s="6">
        <f>C29*B29</f>
        <v>12110000</v>
      </c>
      <c r="E29" s="5">
        <f>D29/1000</f>
        <v>12110</v>
      </c>
      <c r="F29" s="15">
        <v>0.2</v>
      </c>
      <c r="G29" s="6">
        <f>D29*F29</f>
        <v>2422000</v>
      </c>
      <c r="H29" s="8">
        <f>G29/1000</f>
        <v>2422</v>
      </c>
    </row>
    <row r="30" spans="1:9" x14ac:dyDescent="0.15">
      <c r="A30" s="5" t="s">
        <v>56</v>
      </c>
      <c r="B30" s="5">
        <v>4844</v>
      </c>
      <c r="C30" s="5">
        <v>2500</v>
      </c>
      <c r="D30" s="6">
        <f>C30*B30</f>
        <v>12110000</v>
      </c>
      <c r="E30" s="5">
        <f>D30/1000</f>
        <v>12110</v>
      </c>
      <c r="F30" s="15">
        <v>0.2</v>
      </c>
      <c r="G30" s="6">
        <f>D30*F30</f>
        <v>2422000</v>
      </c>
      <c r="H30" s="8">
        <f>G30/1000</f>
        <v>2422</v>
      </c>
    </row>
    <row r="31" spans="1:9" x14ac:dyDescent="0.15">
      <c r="A31" s="5" t="s">
        <v>57</v>
      </c>
      <c r="B31" s="5">
        <v>2200</v>
      </c>
      <c r="C31" s="5">
        <v>2300</v>
      </c>
      <c r="D31" s="6">
        <f>C31*B31</f>
        <v>5060000</v>
      </c>
      <c r="E31" s="5">
        <f>D31/1000</f>
        <v>5060</v>
      </c>
      <c r="F31" s="15">
        <v>0.11</v>
      </c>
      <c r="G31" s="6">
        <f>D31*F31</f>
        <v>556600</v>
      </c>
      <c r="H31" s="8">
        <f>G31/1000</f>
        <v>556.6</v>
      </c>
    </row>
    <row r="32" spans="1:9" x14ac:dyDescent="0.15">
      <c r="A32" s="9" t="s">
        <v>53</v>
      </c>
      <c r="B32" s="9"/>
      <c r="C32" s="9"/>
      <c r="D32" s="9"/>
      <c r="E32" s="9">
        <f>SUM(E25:E30)</f>
        <v>40525</v>
      </c>
      <c r="F32" s="5"/>
      <c r="H32" s="8">
        <f>SUM(H25:H31)</f>
        <v>9760.8000000000011</v>
      </c>
    </row>
    <row r="33" spans="1:9" ht="15" thickBot="1" x14ac:dyDescent="0.2">
      <c r="A33" s="9" t="s">
        <v>98</v>
      </c>
      <c r="B33" s="9"/>
      <c r="C33" s="9"/>
      <c r="D33" s="9"/>
      <c r="E33" s="9"/>
      <c r="F33" s="5"/>
      <c r="H33" s="8">
        <f>(H32/60)*25</f>
        <v>4067</v>
      </c>
    </row>
    <row r="34" spans="1:9" ht="15" thickBot="1" x14ac:dyDescent="0.2">
      <c r="A34" s="9" t="s">
        <v>40</v>
      </c>
      <c r="B34" s="9"/>
      <c r="C34" s="9"/>
      <c r="D34" s="10"/>
      <c r="E34" s="47"/>
      <c r="F34" s="45"/>
      <c r="G34" s="48" t="s">
        <v>92</v>
      </c>
      <c r="H34" s="50">
        <f>H32+H33</f>
        <v>13827.800000000001</v>
      </c>
      <c r="I34" s="6" t="s">
        <v>91</v>
      </c>
    </row>
    <row r="35" spans="1:9" x14ac:dyDescent="0.15">
      <c r="A35" s="5"/>
      <c r="B35" s="5"/>
      <c r="C35" s="5"/>
      <c r="D35" s="5"/>
      <c r="E35" s="51" t="s">
        <v>97</v>
      </c>
      <c r="F35" s="5"/>
    </row>
    <row r="36" spans="1:9" x14ac:dyDescent="0.15">
      <c r="A36" s="9"/>
      <c r="B36" s="5"/>
      <c r="C36" s="5"/>
      <c r="D36" s="5"/>
      <c r="E36" s="51" t="s">
        <v>100</v>
      </c>
      <c r="F36" s="5"/>
    </row>
    <row r="37" spans="1:9" x14ac:dyDescent="0.15">
      <c r="A37" s="5"/>
      <c r="B37" s="14"/>
      <c r="C37" s="5"/>
      <c r="D37" s="5"/>
      <c r="E37" s="5"/>
      <c r="F37" s="5"/>
    </row>
    <row r="38" spans="1:9" x14ac:dyDescent="0.15">
      <c r="A38" s="5"/>
      <c r="B38" s="5"/>
      <c r="C38" s="5"/>
      <c r="D38" s="5"/>
      <c r="E38" s="5"/>
      <c r="F38" s="5"/>
    </row>
    <row r="39" spans="1:9" x14ac:dyDescent="0.15">
      <c r="A39" s="5"/>
      <c r="B39" s="5"/>
      <c r="C39" s="5"/>
      <c r="D39" s="5"/>
      <c r="E39" s="5"/>
      <c r="F39" s="5"/>
    </row>
    <row r="40" spans="1:9" x14ac:dyDescent="0.15">
      <c r="A40" s="5"/>
      <c r="B40" s="5"/>
      <c r="C40" s="5"/>
      <c r="D40" s="5"/>
      <c r="E40" s="5"/>
      <c r="F40" s="5"/>
    </row>
    <row r="41" spans="1:9" x14ac:dyDescent="0.15">
      <c r="A41" s="5"/>
      <c r="B41" s="5"/>
      <c r="C41" s="5"/>
      <c r="D41" s="5"/>
      <c r="E41" s="5"/>
      <c r="F41" s="5"/>
    </row>
    <row r="42" spans="1:9" x14ac:dyDescent="0.15">
      <c r="A42" s="5"/>
      <c r="B42" s="5"/>
      <c r="C42" s="5"/>
      <c r="D42" s="5"/>
      <c r="E42" s="5"/>
      <c r="F42" s="5"/>
    </row>
    <row r="43" spans="1:9" x14ac:dyDescent="0.15">
      <c r="A43" s="5"/>
      <c r="B43" s="5"/>
      <c r="C43" s="5"/>
      <c r="D43" s="5"/>
      <c r="E43" s="5"/>
      <c r="F43" s="5"/>
    </row>
    <row r="44" spans="1:9" x14ac:dyDescent="0.15">
      <c r="A44" s="5"/>
      <c r="B44" s="5"/>
      <c r="C44" s="5"/>
      <c r="D44" s="5"/>
      <c r="E44" s="5"/>
      <c r="F44" s="5"/>
    </row>
    <row r="45" spans="1:9" x14ac:dyDescent="0.15">
      <c r="A45" s="9"/>
      <c r="B45" s="5"/>
      <c r="C45" s="5"/>
      <c r="D45" s="5"/>
      <c r="E45" s="5"/>
      <c r="F45" s="5"/>
    </row>
    <row r="46" spans="1:9" x14ac:dyDescent="0.15">
      <c r="A46" s="5"/>
      <c r="B46" s="5"/>
      <c r="C46" s="5"/>
      <c r="D46" s="5"/>
      <c r="E46" s="5"/>
      <c r="F46" s="5"/>
    </row>
    <row r="47" spans="1:9" x14ac:dyDescent="0.15">
      <c r="A47" s="5"/>
      <c r="B47" s="5"/>
      <c r="C47" s="5"/>
      <c r="D47" s="5"/>
      <c r="E47" s="5"/>
      <c r="F47" s="5"/>
    </row>
    <row r="48" spans="1:9" x14ac:dyDescent="0.15">
      <c r="A48" s="5"/>
      <c r="B48" s="5"/>
      <c r="C48" s="5"/>
      <c r="D48" s="5"/>
      <c r="E48" s="5"/>
      <c r="F48" s="5"/>
    </row>
    <row r="49" spans="1:6" x14ac:dyDescent="0.15">
      <c r="A49" s="5"/>
      <c r="B49" s="5"/>
      <c r="C49" s="5"/>
      <c r="D49" s="5"/>
      <c r="E49" s="5"/>
      <c r="F49" s="5"/>
    </row>
    <row r="50" spans="1:6" x14ac:dyDescent="0.15">
      <c r="A50" s="5"/>
      <c r="B50" s="5"/>
      <c r="C50" s="5"/>
      <c r="D50" s="5"/>
      <c r="E50" s="5"/>
      <c r="F50" s="5"/>
    </row>
    <row r="51" spans="1:6" x14ac:dyDescent="0.15">
      <c r="A51" s="5"/>
      <c r="B51" s="14"/>
      <c r="C51" s="5"/>
      <c r="D51" s="5"/>
      <c r="E51" s="5"/>
      <c r="F51" s="5"/>
    </row>
    <row r="52" spans="1:6" x14ac:dyDescent="0.15">
      <c r="A52" s="5"/>
      <c r="B52" s="5"/>
      <c r="C52" s="5"/>
      <c r="D52" s="5"/>
      <c r="E52" s="5"/>
      <c r="F52" s="5"/>
    </row>
    <row r="53" spans="1:6" x14ac:dyDescent="0.15">
      <c r="A53" s="5"/>
      <c r="B53" s="9"/>
      <c r="C53" s="9"/>
      <c r="D53" s="9"/>
      <c r="E53" s="5"/>
      <c r="F53" s="5"/>
    </row>
    <row r="54" spans="1:6" x14ac:dyDescent="0.15">
      <c r="A54" s="5"/>
      <c r="B54" s="5"/>
      <c r="C54" s="5"/>
      <c r="D54" s="5"/>
      <c r="E54" s="5"/>
      <c r="F54" s="5"/>
    </row>
    <row r="55" spans="1:6" x14ac:dyDescent="0.15">
      <c r="A55" s="5"/>
      <c r="B55" s="5"/>
      <c r="C55" s="5"/>
      <c r="D55" s="5"/>
      <c r="E55" s="5"/>
      <c r="F55" s="5"/>
    </row>
    <row r="56" spans="1:6" x14ac:dyDescent="0.15">
      <c r="A56" s="5"/>
      <c r="B56" s="5"/>
      <c r="C56" s="5"/>
      <c r="D56" s="5"/>
      <c r="E56" s="5"/>
      <c r="F56" s="5"/>
    </row>
    <row r="57" spans="1:6" x14ac:dyDescent="0.15">
      <c r="A57" s="5"/>
      <c r="B57" s="5"/>
      <c r="C57" s="5"/>
      <c r="D57" s="5"/>
      <c r="E57" s="5"/>
      <c r="F57" s="5"/>
    </row>
    <row r="58" spans="1:6" x14ac:dyDescent="0.15">
      <c r="A58" s="5"/>
      <c r="B58" s="5"/>
      <c r="C58" s="5"/>
      <c r="D58" s="5"/>
      <c r="E58" s="5"/>
      <c r="F58" s="5"/>
    </row>
    <row r="59" spans="1:6" x14ac:dyDescent="0.15">
      <c r="A59" s="5"/>
      <c r="B59" s="5"/>
      <c r="C59" s="5"/>
      <c r="D59" s="5"/>
      <c r="E59" s="5"/>
      <c r="F59" s="5"/>
    </row>
    <row r="60" spans="1:6" x14ac:dyDescent="0.15">
      <c r="A60" s="5"/>
      <c r="B60" s="5"/>
      <c r="C60" s="5"/>
      <c r="D60" s="5"/>
      <c r="E60" s="5"/>
      <c r="F60" s="5"/>
    </row>
    <row r="61" spans="1:6" x14ac:dyDescent="0.15">
      <c r="A61" s="5"/>
      <c r="B61" s="5"/>
      <c r="C61" s="5"/>
      <c r="D61" s="5"/>
      <c r="E61" s="5"/>
      <c r="F61" s="5"/>
    </row>
    <row r="62" spans="1:6" x14ac:dyDescent="0.15">
      <c r="A62" s="5"/>
      <c r="B62" s="5"/>
      <c r="C62" s="5"/>
      <c r="D62" s="5"/>
      <c r="E62" s="5"/>
      <c r="F62" s="5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4C33-F8AE-A34B-AF9C-6344A8ED7D2B}">
  <dimension ref="A1:I81"/>
  <sheetViews>
    <sheetView workbookViewId="0">
      <selection activeCell="B12" sqref="B12"/>
    </sheetView>
  </sheetViews>
  <sheetFormatPr baseColWidth="10" defaultRowHeight="14" x14ac:dyDescent="0.15"/>
  <cols>
    <col min="1" max="1" width="19.6640625" customWidth="1"/>
    <col min="2" max="2" width="26.1640625" customWidth="1"/>
    <col min="3" max="5" width="26.1640625" style="6" customWidth="1"/>
    <col min="6" max="6" width="12" customWidth="1"/>
  </cols>
  <sheetData>
    <row r="1" spans="1:9" s="6" customFormat="1" ht="16" x14ac:dyDescent="0.2">
      <c r="A1" s="4" t="s">
        <v>119</v>
      </c>
      <c r="B1" s="4"/>
      <c r="C1" s="5"/>
      <c r="D1" s="5"/>
      <c r="E1" s="5"/>
      <c r="F1" s="5"/>
      <c r="H1" s="7"/>
      <c r="I1" s="16"/>
    </row>
    <row r="3" spans="1:9" x14ac:dyDescent="0.15">
      <c r="B3" t="s">
        <v>17</v>
      </c>
      <c r="C3" s="8" t="s">
        <v>15</v>
      </c>
      <c r="D3" s="8" t="s">
        <v>14</v>
      </c>
      <c r="E3" s="8" t="s">
        <v>16</v>
      </c>
    </row>
    <row r="4" spans="1:9" x14ac:dyDescent="0.15">
      <c r="C4" s="17" t="s">
        <v>13</v>
      </c>
      <c r="D4" s="17" t="s">
        <v>13</v>
      </c>
      <c r="E4" s="17" t="s">
        <v>13</v>
      </c>
    </row>
    <row r="5" spans="1:9" x14ac:dyDescent="0.15">
      <c r="B5" t="s">
        <v>0</v>
      </c>
      <c r="C5" s="6">
        <v>78351</v>
      </c>
      <c r="D5" s="6">
        <v>20033</v>
      </c>
      <c r="E5" s="6">
        <v>12014</v>
      </c>
    </row>
    <row r="6" spans="1:9" x14ac:dyDescent="0.15">
      <c r="B6" t="s">
        <v>1</v>
      </c>
      <c r="C6" s="6">
        <v>5168</v>
      </c>
      <c r="D6" s="6">
        <v>15086</v>
      </c>
      <c r="E6" s="6">
        <v>10035</v>
      </c>
    </row>
    <row r="7" spans="1:9" x14ac:dyDescent="0.15">
      <c r="B7" t="s">
        <v>2</v>
      </c>
      <c r="C7" s="6">
        <v>43484</v>
      </c>
      <c r="D7" s="6">
        <v>13451</v>
      </c>
      <c r="E7" s="6">
        <v>10591</v>
      </c>
    </row>
    <row r="8" spans="1:9" x14ac:dyDescent="0.15">
      <c r="B8" t="s">
        <v>3</v>
      </c>
      <c r="C8" s="6">
        <v>24549</v>
      </c>
      <c r="D8" s="6">
        <v>11203</v>
      </c>
      <c r="E8" s="6">
        <v>10296</v>
      </c>
    </row>
    <row r="9" spans="1:9" x14ac:dyDescent="0.15">
      <c r="B9" t="s">
        <v>4</v>
      </c>
      <c r="C9" s="6">
        <v>17603</v>
      </c>
      <c r="D9" s="6">
        <v>787</v>
      </c>
      <c r="E9" s="6">
        <v>10401</v>
      </c>
    </row>
    <row r="10" spans="1:9" x14ac:dyDescent="0.15">
      <c r="B10" t="s">
        <v>5</v>
      </c>
      <c r="C10" s="6">
        <v>663</v>
      </c>
      <c r="D10" s="6">
        <v>1159</v>
      </c>
      <c r="E10" s="6">
        <v>9219</v>
      </c>
    </row>
    <row r="11" spans="1:9" x14ac:dyDescent="0.15">
      <c r="B11" t="s">
        <v>6</v>
      </c>
      <c r="C11" s="6">
        <v>917</v>
      </c>
      <c r="D11" s="6">
        <v>1065</v>
      </c>
      <c r="E11" s="6">
        <v>9210</v>
      </c>
    </row>
    <row r="12" spans="1:9" x14ac:dyDescent="0.15">
      <c r="B12" t="s">
        <v>7</v>
      </c>
      <c r="C12" s="6">
        <v>1263</v>
      </c>
      <c r="D12" s="6">
        <v>153</v>
      </c>
      <c r="E12" s="6">
        <v>8922</v>
      </c>
    </row>
    <row r="13" spans="1:9" x14ac:dyDescent="0.15">
      <c r="B13" t="s">
        <v>8</v>
      </c>
      <c r="C13" s="6">
        <v>2802</v>
      </c>
      <c r="D13" s="6">
        <v>2246</v>
      </c>
      <c r="E13" s="6">
        <v>9277</v>
      </c>
    </row>
    <row r="14" spans="1:9" x14ac:dyDescent="0.15">
      <c r="B14" t="s">
        <v>9</v>
      </c>
      <c r="C14" s="6">
        <v>25142</v>
      </c>
      <c r="D14" s="6">
        <v>7978</v>
      </c>
      <c r="E14" s="6">
        <v>10012</v>
      </c>
    </row>
    <row r="15" spans="1:9" x14ac:dyDescent="0.15">
      <c r="B15" t="s">
        <v>10</v>
      </c>
      <c r="C15" s="6">
        <v>58942</v>
      </c>
      <c r="D15" s="6">
        <v>13396</v>
      </c>
      <c r="E15" s="6">
        <v>11161</v>
      </c>
    </row>
    <row r="16" spans="1:9" x14ac:dyDescent="0.15">
      <c r="B16" t="s">
        <v>11</v>
      </c>
      <c r="C16" s="6">
        <v>64905</v>
      </c>
      <c r="D16" s="6">
        <v>14163</v>
      </c>
      <c r="E16" s="6">
        <v>11582</v>
      </c>
    </row>
    <row r="18" spans="2:5" x14ac:dyDescent="0.15">
      <c r="B18" s="1" t="s">
        <v>12</v>
      </c>
      <c r="C18" s="6">
        <v>323789</v>
      </c>
      <c r="D18" s="6">
        <v>100720</v>
      </c>
      <c r="E18" s="6">
        <v>122721</v>
      </c>
    </row>
    <row r="21" spans="2:5" x14ac:dyDescent="0.15">
      <c r="B21" t="s">
        <v>17</v>
      </c>
      <c r="C21" s="8" t="s">
        <v>18</v>
      </c>
      <c r="D21" s="8" t="s">
        <v>19</v>
      </c>
      <c r="E21" s="8" t="s">
        <v>20</v>
      </c>
    </row>
    <row r="22" spans="2:5" x14ac:dyDescent="0.15">
      <c r="C22" s="17" t="s">
        <v>13</v>
      </c>
      <c r="D22" s="17" t="s">
        <v>13</v>
      </c>
      <c r="E22" s="17" t="s">
        <v>13</v>
      </c>
    </row>
    <row r="23" spans="2:5" x14ac:dyDescent="0.15">
      <c r="B23" t="s">
        <v>0</v>
      </c>
      <c r="C23" s="6">
        <v>103816</v>
      </c>
      <c r="D23" s="6">
        <v>16358</v>
      </c>
      <c r="E23" s="6">
        <v>21954</v>
      </c>
    </row>
    <row r="24" spans="2:5" x14ac:dyDescent="0.15">
      <c r="B24" t="s">
        <v>1</v>
      </c>
      <c r="C24" s="6">
        <v>76215</v>
      </c>
      <c r="D24" s="6">
        <v>13107</v>
      </c>
      <c r="E24" s="6">
        <v>17982</v>
      </c>
    </row>
    <row r="25" spans="2:5" x14ac:dyDescent="0.15">
      <c r="B25" t="s">
        <v>2</v>
      </c>
      <c r="C25" s="6">
        <v>65916</v>
      </c>
      <c r="D25" s="6">
        <v>13023</v>
      </c>
      <c r="E25" s="6">
        <v>19495</v>
      </c>
    </row>
    <row r="26" spans="2:5" x14ac:dyDescent="0.15">
      <c r="B26" t="s">
        <v>3</v>
      </c>
      <c r="C26" s="6">
        <v>41492</v>
      </c>
      <c r="D26" s="6">
        <v>10697</v>
      </c>
      <c r="E26" s="6">
        <v>18747</v>
      </c>
    </row>
    <row r="27" spans="2:5" x14ac:dyDescent="0.15">
      <c r="B27" t="s">
        <v>4</v>
      </c>
      <c r="C27" s="6">
        <v>5789</v>
      </c>
      <c r="D27" s="6">
        <v>8011</v>
      </c>
      <c r="E27" s="6">
        <v>19587</v>
      </c>
    </row>
    <row r="28" spans="2:5" x14ac:dyDescent="0.15">
      <c r="B28" t="s">
        <v>5</v>
      </c>
      <c r="C28" s="6">
        <v>1835</v>
      </c>
      <c r="D28" s="6">
        <v>1762</v>
      </c>
      <c r="E28" s="6">
        <v>19380</v>
      </c>
    </row>
    <row r="29" spans="2:5" x14ac:dyDescent="0.15">
      <c r="B29" t="s">
        <v>6</v>
      </c>
      <c r="C29" s="6">
        <v>3509</v>
      </c>
      <c r="D29" s="6">
        <v>1709</v>
      </c>
      <c r="E29" s="6">
        <v>19727</v>
      </c>
    </row>
    <row r="30" spans="2:5" x14ac:dyDescent="0.15">
      <c r="B30" t="s">
        <v>7</v>
      </c>
      <c r="C30" s="6">
        <v>5217</v>
      </c>
      <c r="D30" s="6">
        <v>2077</v>
      </c>
      <c r="E30" s="6">
        <v>19873</v>
      </c>
    </row>
    <row r="31" spans="2:5" x14ac:dyDescent="0.15">
      <c r="B31" t="s">
        <v>8</v>
      </c>
      <c r="C31" s="6">
        <v>8719</v>
      </c>
      <c r="D31" s="6">
        <v>223</v>
      </c>
      <c r="E31" s="6">
        <v>19001</v>
      </c>
    </row>
    <row r="32" spans="2:5" x14ac:dyDescent="0.15">
      <c r="B32" t="s">
        <v>9</v>
      </c>
      <c r="C32" s="6">
        <v>44645</v>
      </c>
      <c r="D32" s="6">
        <v>6377</v>
      </c>
      <c r="E32" s="6">
        <v>20502</v>
      </c>
    </row>
    <row r="33" spans="2:5" x14ac:dyDescent="0.15">
      <c r="B33" t="s">
        <v>10</v>
      </c>
      <c r="C33" s="6">
        <v>78903</v>
      </c>
      <c r="D33" s="6">
        <v>9378</v>
      </c>
      <c r="E33" s="6">
        <v>21733</v>
      </c>
    </row>
    <row r="34" spans="2:5" x14ac:dyDescent="0.15">
      <c r="B34" t="s">
        <v>11</v>
      </c>
      <c r="C34" s="6">
        <v>8664</v>
      </c>
      <c r="D34" s="6">
        <v>9692</v>
      </c>
      <c r="E34" s="6">
        <v>20416</v>
      </c>
    </row>
    <row r="36" spans="2:5" x14ac:dyDescent="0.15">
      <c r="B36" s="1" t="s">
        <v>12</v>
      </c>
      <c r="C36" s="6">
        <v>444720</v>
      </c>
      <c r="D36" s="6">
        <v>92414</v>
      </c>
      <c r="E36" s="6">
        <v>238398</v>
      </c>
    </row>
    <row r="39" spans="2:5" x14ac:dyDescent="0.15">
      <c r="B39" t="s">
        <v>17</v>
      </c>
      <c r="C39" s="8" t="s">
        <v>22</v>
      </c>
      <c r="D39" s="8" t="s">
        <v>21</v>
      </c>
      <c r="E39" s="8" t="s">
        <v>23</v>
      </c>
    </row>
    <row r="40" spans="2:5" x14ac:dyDescent="0.15">
      <c r="C40" s="17" t="s">
        <v>13</v>
      </c>
      <c r="D40" s="17" t="s">
        <v>13</v>
      </c>
      <c r="E40" s="17" t="s">
        <v>13</v>
      </c>
    </row>
    <row r="41" spans="2:5" x14ac:dyDescent="0.15">
      <c r="B41" t="s">
        <v>0</v>
      </c>
      <c r="C41" s="6">
        <v>116375</v>
      </c>
      <c r="D41" s="6">
        <v>1972</v>
      </c>
      <c r="E41" s="6">
        <v>53121</v>
      </c>
    </row>
    <row r="42" spans="2:5" x14ac:dyDescent="0.15">
      <c r="B42" t="s">
        <v>1</v>
      </c>
      <c r="C42" s="6">
        <v>84824</v>
      </c>
      <c r="D42" s="6">
        <v>1338</v>
      </c>
      <c r="E42" s="6">
        <v>35399</v>
      </c>
    </row>
    <row r="43" spans="2:5" x14ac:dyDescent="0.15">
      <c r="B43" t="s">
        <v>2</v>
      </c>
      <c r="C43" s="6">
        <v>72001</v>
      </c>
      <c r="D43" s="6">
        <v>814</v>
      </c>
      <c r="E43" s="6">
        <v>35086</v>
      </c>
    </row>
    <row r="44" spans="2:5" x14ac:dyDescent="0.15">
      <c r="B44" t="s">
        <v>3</v>
      </c>
      <c r="C44" s="6">
        <v>44339</v>
      </c>
      <c r="D44" s="6">
        <v>447</v>
      </c>
      <c r="E44" s="6">
        <v>40402</v>
      </c>
    </row>
    <row r="45" spans="2:5" x14ac:dyDescent="0.15">
      <c r="B45" t="s">
        <v>4</v>
      </c>
      <c r="C45" s="6">
        <v>34774</v>
      </c>
      <c r="D45" s="6">
        <v>132</v>
      </c>
      <c r="E45" s="6">
        <v>40577</v>
      </c>
    </row>
    <row r="46" spans="2:5" x14ac:dyDescent="0.15">
      <c r="B46" t="s">
        <v>5</v>
      </c>
      <c r="C46" s="6">
        <v>3372</v>
      </c>
      <c r="D46" s="6">
        <v>3</v>
      </c>
      <c r="E46" s="6">
        <v>38148</v>
      </c>
    </row>
    <row r="47" spans="2:5" x14ac:dyDescent="0.15">
      <c r="B47" t="s">
        <v>6</v>
      </c>
      <c r="C47" s="6">
        <v>3984</v>
      </c>
      <c r="D47" s="6">
        <v>0</v>
      </c>
      <c r="E47" s="6">
        <v>38319</v>
      </c>
    </row>
    <row r="48" spans="2:5" x14ac:dyDescent="0.15">
      <c r="B48" t="s">
        <v>7</v>
      </c>
      <c r="C48" s="6">
        <v>5515</v>
      </c>
      <c r="D48" s="6">
        <v>0</v>
      </c>
      <c r="E48" s="6">
        <v>35403</v>
      </c>
    </row>
    <row r="49" spans="2:5" x14ac:dyDescent="0.15">
      <c r="B49" t="s">
        <v>8</v>
      </c>
      <c r="C49" s="6">
        <v>8895</v>
      </c>
      <c r="D49" s="6">
        <v>0</v>
      </c>
      <c r="E49" s="6">
        <v>37975</v>
      </c>
    </row>
    <row r="50" spans="2:5" x14ac:dyDescent="0.15">
      <c r="B50" t="s">
        <v>9</v>
      </c>
      <c r="C50" s="6">
        <v>46406</v>
      </c>
      <c r="D50" s="6">
        <v>10</v>
      </c>
      <c r="E50" s="6">
        <v>52793</v>
      </c>
    </row>
    <row r="51" spans="2:5" x14ac:dyDescent="0.15">
      <c r="B51" t="s">
        <v>10</v>
      </c>
      <c r="C51" s="6">
        <v>87428</v>
      </c>
      <c r="D51" s="6">
        <v>19</v>
      </c>
      <c r="E51" s="6">
        <v>37619</v>
      </c>
    </row>
    <row r="52" spans="2:5" x14ac:dyDescent="0.15">
      <c r="B52" t="s">
        <v>11</v>
      </c>
      <c r="C52" s="6">
        <v>95526</v>
      </c>
      <c r="D52" s="6">
        <v>105</v>
      </c>
      <c r="E52" s="6">
        <v>41091</v>
      </c>
    </row>
    <row r="54" spans="2:5" x14ac:dyDescent="0.15">
      <c r="B54" s="1" t="s">
        <v>12</v>
      </c>
      <c r="C54" s="6">
        <v>603439</v>
      </c>
      <c r="D54" s="6">
        <v>4839</v>
      </c>
      <c r="E54" s="6">
        <v>485933</v>
      </c>
    </row>
    <row r="57" spans="2:5" x14ac:dyDescent="0.15">
      <c r="B57" t="s">
        <v>17</v>
      </c>
      <c r="C57" s="8" t="s">
        <v>24</v>
      </c>
    </row>
    <row r="58" spans="2:5" x14ac:dyDescent="0.15">
      <c r="C58" s="7" t="s">
        <v>13</v>
      </c>
    </row>
    <row r="59" spans="2:5" x14ac:dyDescent="0.15">
      <c r="B59" t="s">
        <v>0</v>
      </c>
      <c r="C59" s="6">
        <v>42787</v>
      </c>
    </row>
    <row r="60" spans="2:5" x14ac:dyDescent="0.15">
      <c r="B60" t="s">
        <v>1</v>
      </c>
      <c r="C60" s="6">
        <v>39402</v>
      </c>
    </row>
    <row r="61" spans="2:5" x14ac:dyDescent="0.15">
      <c r="B61" t="s">
        <v>2</v>
      </c>
      <c r="C61" s="6">
        <v>41402</v>
      </c>
    </row>
    <row r="62" spans="2:5" x14ac:dyDescent="0.15">
      <c r="B62" t="s">
        <v>3</v>
      </c>
      <c r="C62" s="6">
        <v>38868</v>
      </c>
    </row>
    <row r="63" spans="2:5" x14ac:dyDescent="0.15">
      <c r="B63" t="s">
        <v>4</v>
      </c>
      <c r="C63" s="6">
        <v>39206</v>
      </c>
    </row>
    <row r="64" spans="2:5" x14ac:dyDescent="0.15">
      <c r="B64" t="s">
        <v>5</v>
      </c>
      <c r="C64" s="6">
        <v>36772</v>
      </c>
    </row>
    <row r="65" spans="2:7" x14ac:dyDescent="0.15">
      <c r="B65" t="s">
        <v>6</v>
      </c>
      <c r="C65" s="6">
        <v>40213</v>
      </c>
    </row>
    <row r="66" spans="2:7" x14ac:dyDescent="0.15">
      <c r="B66" t="s">
        <v>7</v>
      </c>
      <c r="C66" s="6">
        <v>44966</v>
      </c>
    </row>
    <row r="67" spans="2:7" x14ac:dyDescent="0.15">
      <c r="B67" t="s">
        <v>8</v>
      </c>
      <c r="C67" s="6">
        <v>44674</v>
      </c>
    </row>
    <row r="68" spans="2:7" x14ac:dyDescent="0.15">
      <c r="B68" t="s">
        <v>9</v>
      </c>
      <c r="C68" s="6">
        <v>73089</v>
      </c>
    </row>
    <row r="69" spans="2:7" x14ac:dyDescent="0.15">
      <c r="B69" t="s">
        <v>10</v>
      </c>
      <c r="C69" s="6">
        <v>19386</v>
      </c>
    </row>
    <row r="70" spans="2:7" x14ac:dyDescent="0.15">
      <c r="B70" t="s">
        <v>11</v>
      </c>
      <c r="C70" s="6">
        <v>12611</v>
      </c>
    </row>
    <row r="72" spans="2:7" x14ac:dyDescent="0.15">
      <c r="B72" s="1" t="s">
        <v>12</v>
      </c>
      <c r="C72" s="6">
        <v>473375</v>
      </c>
    </row>
    <row r="73" spans="2:7" x14ac:dyDescent="0.15">
      <c r="D73" s="7" t="s">
        <v>60</v>
      </c>
      <c r="E73" s="7" t="s">
        <v>61</v>
      </c>
    </row>
    <row r="74" spans="2:7" x14ac:dyDescent="0.15">
      <c r="B74" s="3" t="s">
        <v>58</v>
      </c>
      <c r="C74" s="6">
        <f>C72+C54+D54+D36+C36+D18+C18</f>
        <v>2043296</v>
      </c>
      <c r="D74" s="6">
        <f>'Graue Energie_CO2'!C15</f>
        <v>24032.15</v>
      </c>
      <c r="E74" s="6">
        <f>C74/D74</f>
        <v>85.023437353711586</v>
      </c>
      <c r="F74" t="s">
        <v>62</v>
      </c>
      <c r="G74" s="2"/>
    </row>
    <row r="75" spans="2:7" x14ac:dyDescent="0.15">
      <c r="B75" s="3" t="s">
        <v>94</v>
      </c>
      <c r="C75" s="6">
        <f>(C74*228)/1000</f>
        <v>465871.48800000001</v>
      </c>
      <c r="D75" s="6">
        <f>D74</f>
        <v>24032.15</v>
      </c>
      <c r="E75" s="6">
        <f>C75/D75</f>
        <v>19.385343716646243</v>
      </c>
      <c r="F75" t="s">
        <v>63</v>
      </c>
      <c r="G75" s="2"/>
    </row>
    <row r="76" spans="2:7" x14ac:dyDescent="0.15">
      <c r="B76" s="68" t="s">
        <v>103</v>
      </c>
      <c r="C76" s="6">
        <f>C75*0.1</f>
        <v>46587.148800000003</v>
      </c>
      <c r="D76" s="6">
        <f>D75</f>
        <v>24032.15</v>
      </c>
      <c r="E76" s="28">
        <f>C76/D76</f>
        <v>1.9385343716646242</v>
      </c>
      <c r="F76" t="s">
        <v>63</v>
      </c>
    </row>
    <row r="78" spans="2:7" x14ac:dyDescent="0.15">
      <c r="B78" s="3" t="s">
        <v>59</v>
      </c>
      <c r="C78" s="6">
        <f>E54+E36+E18</f>
        <v>847052</v>
      </c>
      <c r="D78" s="6">
        <f>D74</f>
        <v>24032.15</v>
      </c>
      <c r="E78" s="6">
        <f>C78/D78</f>
        <v>35.246617551904428</v>
      </c>
      <c r="F78" t="s">
        <v>62</v>
      </c>
    </row>
    <row r="79" spans="2:7" x14ac:dyDescent="0.15">
      <c r="B79" s="68" t="s">
        <v>95</v>
      </c>
      <c r="C79" s="6">
        <f>(C78*27)/1000</f>
        <v>22870.403999999999</v>
      </c>
      <c r="D79" s="6">
        <f>D75</f>
        <v>24032.15</v>
      </c>
      <c r="E79" s="28">
        <f>C79/D79</f>
        <v>0.95165867390141945</v>
      </c>
      <c r="F79" t="s">
        <v>63</v>
      </c>
    </row>
    <row r="81" spans="2:6" x14ac:dyDescent="0.15">
      <c r="B81" t="s">
        <v>101</v>
      </c>
      <c r="C81" s="29">
        <f>((E76+E79)*D76)/1000</f>
        <v>69.457552799999988</v>
      </c>
      <c r="D81" s="30" t="s">
        <v>82</v>
      </c>
      <c r="E81" s="31">
        <f>E79+E76</f>
        <v>2.8901930455660434</v>
      </c>
      <c r="F81" s="3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FCAF-DF3F-804F-94AE-A60D55813BBD}">
  <sheetPr>
    <pageSetUpPr fitToPage="1"/>
  </sheetPr>
  <dimension ref="A1:X42"/>
  <sheetViews>
    <sheetView zoomScale="75" zoomScaleNormal="80" zoomScalePageLayoutView="75" workbookViewId="0">
      <selection activeCell="A19" sqref="A19"/>
    </sheetView>
  </sheetViews>
  <sheetFormatPr baseColWidth="10" defaultRowHeight="16" x14ac:dyDescent="0.2"/>
  <cols>
    <col min="1" max="1" width="76.6640625" style="26" customWidth="1"/>
    <col min="2" max="2" width="10.6640625" style="19" customWidth="1"/>
    <col min="3" max="20" width="9.33203125" style="19" customWidth="1"/>
    <col min="21" max="21" width="10.1640625" style="35" customWidth="1"/>
    <col min="22" max="23" width="11.83203125" style="35" customWidth="1"/>
    <col min="24" max="24" width="11.83203125" style="34" customWidth="1"/>
    <col min="25" max="16384" width="10.83203125" style="19"/>
  </cols>
  <sheetData>
    <row r="1" spans="1:8" s="6" customFormat="1" x14ac:dyDescent="0.2">
      <c r="A1" s="4" t="s">
        <v>121</v>
      </c>
      <c r="B1" s="5"/>
      <c r="C1" s="5"/>
      <c r="D1" s="5"/>
      <c r="E1" s="5"/>
      <c r="G1" s="7"/>
      <c r="H1" s="16"/>
    </row>
    <row r="2" spans="1:8" x14ac:dyDescent="0.2">
      <c r="A2" s="20"/>
      <c r="B2" s="18"/>
      <c r="C2" s="18"/>
    </row>
    <row r="3" spans="1:8" x14ac:dyDescent="0.2">
      <c r="A3" s="20" t="s">
        <v>83</v>
      </c>
      <c r="B3" s="23">
        <v>2.9</v>
      </c>
      <c r="C3" s="22" t="s">
        <v>64</v>
      </c>
    </row>
    <row r="4" spans="1:8" x14ac:dyDescent="0.2">
      <c r="A4" s="20" t="s">
        <v>65</v>
      </c>
      <c r="B4" s="23">
        <f>B3*1.3</f>
        <v>3.77</v>
      </c>
      <c r="C4" s="22" t="s">
        <v>66</v>
      </c>
    </row>
    <row r="5" spans="1:8" hidden="1" x14ac:dyDescent="0.2">
      <c r="A5" s="24" t="s">
        <v>67</v>
      </c>
      <c r="B5" s="22">
        <v>6350</v>
      </c>
      <c r="C5" s="22" t="s">
        <v>35</v>
      </c>
    </row>
    <row r="6" spans="1:8" x14ac:dyDescent="0.2">
      <c r="A6" s="24" t="s">
        <v>68</v>
      </c>
      <c r="B6" s="33">
        <f>'Graue Energie_CO2'!C15</f>
        <v>24032.15</v>
      </c>
      <c r="C6" s="22" t="s">
        <v>35</v>
      </c>
    </row>
    <row r="7" spans="1:8" x14ac:dyDescent="0.2">
      <c r="A7" s="24" t="s">
        <v>69</v>
      </c>
      <c r="B7" s="33">
        <f>Betriebsenergie_CO2!C74</f>
        <v>2043296</v>
      </c>
      <c r="C7" s="22" t="s">
        <v>70</v>
      </c>
    </row>
    <row r="8" spans="1:8" x14ac:dyDescent="0.2">
      <c r="A8" s="20" t="s">
        <v>71</v>
      </c>
      <c r="B8" s="21">
        <f>B7/B6</f>
        <v>85.023437353711586</v>
      </c>
      <c r="C8" s="22" t="s">
        <v>62</v>
      </c>
    </row>
    <row r="9" spans="1:8" x14ac:dyDescent="0.2">
      <c r="A9" s="20" t="s">
        <v>72</v>
      </c>
      <c r="B9" s="23">
        <f>Betriebsenergie_CO2!E76</f>
        <v>1.9385343716646242</v>
      </c>
      <c r="C9" s="22" t="s">
        <v>64</v>
      </c>
    </row>
    <row r="10" spans="1:8" x14ac:dyDescent="0.2">
      <c r="A10" s="20" t="s">
        <v>65</v>
      </c>
      <c r="B10" s="23">
        <f>B9*1.25</f>
        <v>2.42316796458078</v>
      </c>
      <c r="C10" s="22" t="s">
        <v>66</v>
      </c>
    </row>
    <row r="11" spans="1:8" x14ac:dyDescent="0.2">
      <c r="A11" s="20" t="s">
        <v>85</v>
      </c>
      <c r="B11" s="33">
        <f>Betriebsenergie_CO2!C79</f>
        <v>22870.403999999999</v>
      </c>
      <c r="C11" s="22" t="s">
        <v>70</v>
      </c>
    </row>
    <row r="12" spans="1:8" x14ac:dyDescent="0.2">
      <c r="A12" s="20" t="s">
        <v>73</v>
      </c>
      <c r="B12" s="23">
        <f>B11/B6</f>
        <v>0.95165867390141945</v>
      </c>
      <c r="C12" s="22" t="s">
        <v>62</v>
      </c>
    </row>
    <row r="13" spans="1:8" x14ac:dyDescent="0.2">
      <c r="A13" s="20" t="s">
        <v>86</v>
      </c>
      <c r="B13" s="25">
        <f>Betriebsenergie_CO2!E79</f>
        <v>0.95165867390141945</v>
      </c>
      <c r="C13" s="22" t="s">
        <v>64</v>
      </c>
    </row>
    <row r="14" spans="1:8" x14ac:dyDescent="0.2">
      <c r="A14" s="20" t="s">
        <v>87</v>
      </c>
      <c r="B14" s="23">
        <f>B13*1.3</f>
        <v>1.2371562760718453</v>
      </c>
      <c r="C14" s="22" t="s">
        <v>66</v>
      </c>
    </row>
    <row r="15" spans="1:8" x14ac:dyDescent="0.2">
      <c r="A15" s="20" t="s">
        <v>74</v>
      </c>
      <c r="B15" s="21">
        <v>400</v>
      </c>
      <c r="C15" s="22" t="s">
        <v>64</v>
      </c>
    </row>
    <row r="16" spans="1:8" x14ac:dyDescent="0.2">
      <c r="A16" s="20" t="s">
        <v>74</v>
      </c>
      <c r="B16" s="33">
        <f>'Graue Energie_CO2'!H21</f>
        <v>13391.86</v>
      </c>
      <c r="C16" s="22" t="s">
        <v>46</v>
      </c>
    </row>
    <row r="17" spans="1:24" x14ac:dyDescent="0.2">
      <c r="A17" s="20" t="s">
        <v>75</v>
      </c>
      <c r="B17" s="21">
        <v>39</v>
      </c>
      <c r="C17" s="22" t="s">
        <v>64</v>
      </c>
    </row>
    <row r="18" spans="1:24" x14ac:dyDescent="0.2">
      <c r="A18" s="20" t="s">
        <v>75</v>
      </c>
      <c r="B18" s="33">
        <f>(B17*B6)/1000</f>
        <v>937.25385000000006</v>
      </c>
      <c r="C18" s="22" t="s">
        <v>46</v>
      </c>
    </row>
    <row r="19" spans="1:24" x14ac:dyDescent="0.2">
      <c r="A19" s="20"/>
      <c r="B19" s="23"/>
      <c r="C19" s="22"/>
    </row>
    <row r="20" spans="1:24" x14ac:dyDescent="0.2">
      <c r="A20" s="69" t="s">
        <v>104</v>
      </c>
      <c r="B20" s="19">
        <v>2022</v>
      </c>
      <c r="C20" s="19">
        <v>2023</v>
      </c>
      <c r="D20" s="19">
        <v>2024</v>
      </c>
      <c r="E20" s="19">
        <v>2025</v>
      </c>
      <c r="F20" s="19">
        <v>2026</v>
      </c>
      <c r="G20" s="19">
        <v>2027</v>
      </c>
      <c r="H20" s="19">
        <v>2028</v>
      </c>
      <c r="I20" s="19">
        <v>2029</v>
      </c>
      <c r="J20" s="19">
        <v>2030</v>
      </c>
      <c r="K20" s="19">
        <v>2031</v>
      </c>
      <c r="L20" s="19">
        <v>2032</v>
      </c>
      <c r="M20" s="19">
        <v>2033</v>
      </c>
      <c r="N20" s="19">
        <v>2034</v>
      </c>
      <c r="O20" s="19">
        <v>2035</v>
      </c>
      <c r="P20" s="19">
        <v>2036</v>
      </c>
      <c r="Q20" s="19">
        <v>2037</v>
      </c>
      <c r="R20" s="19">
        <v>2038</v>
      </c>
      <c r="S20" s="19">
        <v>2039</v>
      </c>
      <c r="T20" s="19">
        <v>2040</v>
      </c>
      <c r="U20" s="36" t="s">
        <v>40</v>
      </c>
      <c r="V20" s="36" t="s">
        <v>76</v>
      </c>
      <c r="W20" s="36" t="s">
        <v>76</v>
      </c>
      <c r="X20" s="36" t="s">
        <v>77</v>
      </c>
    </row>
    <row r="21" spans="1:24" s="18" customFormat="1" x14ac:dyDescent="0.2">
      <c r="A21" s="20" t="s">
        <v>114</v>
      </c>
      <c r="B21" s="85">
        <f>'C02 Budgets Zürich'!H7</f>
        <v>73570.344827586217</v>
      </c>
      <c r="C21" s="85">
        <f>'C02 Budgets Zürich'!J7</f>
        <v>69483.103448275855</v>
      </c>
      <c r="D21" s="85">
        <f>'C02 Budgets Zürich'!L7</f>
        <v>65395.862068965522</v>
      </c>
      <c r="E21" s="85">
        <f>'C02 Budgets Zürich'!N7</f>
        <v>61308.620689655188</v>
      </c>
      <c r="F21" s="85">
        <f>'C02 Budgets Zürich'!P7</f>
        <v>57221.379310344833</v>
      </c>
      <c r="G21" s="85">
        <f>'C02 Budgets Zürich'!R7</f>
        <v>53134.137931034486</v>
      </c>
      <c r="H21" s="85">
        <f>'C02 Budgets Zürich'!T7</f>
        <v>49046.896551724138</v>
      </c>
      <c r="I21" s="85">
        <f>'C02 Budgets Zürich'!V7</f>
        <v>44959.655172413797</v>
      </c>
      <c r="J21" s="85">
        <f>'C02 Budgets Zürich'!X7</f>
        <v>40872.413793103457</v>
      </c>
      <c r="K21" s="85">
        <f>'C02 Budgets Zürich'!Z7</f>
        <v>36785.172413793109</v>
      </c>
      <c r="L21" s="85">
        <f>'C02 Budgets Zürich'!AB7</f>
        <v>32697.931034482761</v>
      </c>
      <c r="M21" s="85">
        <f>'C02 Budgets Zürich'!AD7</f>
        <v>28610.689655172417</v>
      </c>
      <c r="N21" s="85">
        <f>'C02 Budgets Zürich'!AF7</f>
        <v>24523.448275862069</v>
      </c>
      <c r="O21" s="85">
        <f>'C02 Budgets Zürich'!AH7</f>
        <v>20436.206896551728</v>
      </c>
      <c r="P21" s="85">
        <f>'C02 Budgets Zürich'!AJ7</f>
        <v>16348.96551724138</v>
      </c>
      <c r="Q21" s="85">
        <f>'C02 Budgets Zürich'!AL7</f>
        <v>12261.724137931034</v>
      </c>
      <c r="R21" s="85">
        <f>'C02 Budgets Zürich'!AN7</f>
        <v>8174.4827586206902</v>
      </c>
      <c r="S21" s="85">
        <f>'C02 Budgets Zürich'!AP7</f>
        <v>4087.2413793103451</v>
      </c>
      <c r="T21" s="85">
        <f>'C02 Budgets Zürich'!AR7</f>
        <v>0</v>
      </c>
      <c r="U21" s="84"/>
      <c r="V21" s="84"/>
      <c r="W21" s="84"/>
      <c r="X21" s="84"/>
    </row>
    <row r="22" spans="1:24" s="18" customFormat="1" x14ac:dyDescent="0.2">
      <c r="A22" s="20" t="s">
        <v>115</v>
      </c>
      <c r="B22" s="85">
        <f>'C02 Budgets Zürich'!H11</f>
        <v>294281.37931034487</v>
      </c>
      <c r="C22" s="85">
        <f>'C02 Budgets Zürich'!J11</f>
        <v>277932.41379310342</v>
      </c>
      <c r="D22" s="85">
        <f>'C02 Budgets Zürich'!L11</f>
        <v>261583.44827586209</v>
      </c>
      <c r="E22" s="85">
        <f>'C02 Budgets Zürich'!N11</f>
        <v>245234.48275862075</v>
      </c>
      <c r="F22" s="85">
        <f>'C02 Budgets Zürich'!P11</f>
        <v>228885.51724137933</v>
      </c>
      <c r="G22" s="85">
        <f>'C02 Budgets Zürich'!R11</f>
        <v>212536.55172413794</v>
      </c>
      <c r="H22" s="85">
        <f>'C02 Budgets Zürich'!T11</f>
        <v>196187.58620689655</v>
      </c>
      <c r="I22" s="85">
        <f>'C02 Budgets Zürich'!V11</f>
        <v>179838.62068965519</v>
      </c>
      <c r="J22" s="85">
        <f>'C02 Budgets Zürich'!X11</f>
        <v>163489.65517241383</v>
      </c>
      <c r="K22" s="85">
        <f>'C02 Budgets Zürich'!Z11</f>
        <v>147140.68965517243</v>
      </c>
      <c r="L22" s="85">
        <f>'C02 Budgets Zürich'!AB11</f>
        <v>130791.72413793104</v>
      </c>
      <c r="M22" s="85">
        <f>'C02 Budgets Zürich'!AD11</f>
        <v>114442.75862068967</v>
      </c>
      <c r="N22" s="85">
        <f>'C02 Budgets Zürich'!AF11</f>
        <v>98093.793103448275</v>
      </c>
      <c r="O22" s="85">
        <f>'C02 Budgets Zürich'!AH11</f>
        <v>81744.827586206913</v>
      </c>
      <c r="P22" s="85">
        <f>'C02 Budgets Zürich'!AJ11</f>
        <v>65395.862068965522</v>
      </c>
      <c r="Q22" s="85">
        <f>'C02 Budgets Zürich'!AL11</f>
        <v>49046.896551724138</v>
      </c>
      <c r="R22" s="85">
        <f>'C02 Budgets Zürich'!AN11</f>
        <v>32697.931034482761</v>
      </c>
      <c r="S22" s="85">
        <f>'C02 Budgets Zürich'!AP11</f>
        <v>16348.96551724138</v>
      </c>
      <c r="T22" s="85">
        <f>'C02 Budgets Zürich'!AR11</f>
        <v>0</v>
      </c>
      <c r="U22" s="84"/>
      <c r="V22" s="84"/>
      <c r="W22" s="84"/>
      <c r="X22" s="84"/>
    </row>
    <row r="23" spans="1:24" ht="17" thickBot="1" x14ac:dyDescent="0.25">
      <c r="B23" s="26" t="s">
        <v>46</v>
      </c>
      <c r="C23" s="26" t="s">
        <v>46</v>
      </c>
      <c r="D23" s="26" t="s">
        <v>46</v>
      </c>
      <c r="E23" s="26" t="s">
        <v>46</v>
      </c>
      <c r="F23" s="26" t="s">
        <v>46</v>
      </c>
      <c r="G23" s="26" t="s">
        <v>46</v>
      </c>
      <c r="H23" s="26" t="s">
        <v>46</v>
      </c>
      <c r="I23" s="26" t="s">
        <v>46</v>
      </c>
      <c r="J23" s="26" t="s">
        <v>46</v>
      </c>
      <c r="K23" s="26" t="s">
        <v>46</v>
      </c>
      <c r="L23" s="26" t="s">
        <v>46</v>
      </c>
      <c r="M23" s="26" t="s">
        <v>46</v>
      </c>
      <c r="N23" s="26" t="s">
        <v>46</v>
      </c>
      <c r="O23" s="26" t="s">
        <v>46</v>
      </c>
      <c r="P23" s="26" t="s">
        <v>46</v>
      </c>
      <c r="Q23" s="26" t="s">
        <v>46</v>
      </c>
      <c r="R23" s="26" t="s">
        <v>46</v>
      </c>
      <c r="S23" s="26" t="s">
        <v>46</v>
      </c>
      <c r="T23" s="26" t="s">
        <v>46</v>
      </c>
      <c r="U23" s="36" t="s">
        <v>46</v>
      </c>
      <c r="V23" s="36" t="s">
        <v>46</v>
      </c>
      <c r="W23" s="36" t="s">
        <v>78</v>
      </c>
      <c r="X23" s="36" t="s">
        <v>46</v>
      </c>
    </row>
    <row r="24" spans="1:24" ht="17" thickBot="1" x14ac:dyDescent="0.25">
      <c r="A24" s="55" t="s">
        <v>116</v>
      </c>
      <c r="B24" s="56">
        <v>69</v>
      </c>
      <c r="C24" s="56">
        <f>B24</f>
        <v>69</v>
      </c>
      <c r="D24" s="56">
        <f t="shared" ref="D24:J24" si="0">C24</f>
        <v>69</v>
      </c>
      <c r="E24" s="56">
        <f t="shared" si="0"/>
        <v>69</v>
      </c>
      <c r="F24" s="56">
        <f t="shared" si="0"/>
        <v>69</v>
      </c>
      <c r="G24" s="56">
        <f t="shared" si="0"/>
        <v>69</v>
      </c>
      <c r="H24" s="56">
        <f t="shared" si="0"/>
        <v>69</v>
      </c>
      <c r="I24" s="56">
        <f t="shared" si="0"/>
        <v>69</v>
      </c>
      <c r="J24" s="56">
        <f t="shared" si="0"/>
        <v>69</v>
      </c>
      <c r="K24" s="27">
        <v>69</v>
      </c>
      <c r="L24" s="27">
        <v>69</v>
      </c>
      <c r="M24" s="27">
        <v>69</v>
      </c>
      <c r="N24" s="27">
        <v>69</v>
      </c>
      <c r="O24" s="27">
        <v>69</v>
      </c>
      <c r="P24" s="27">
        <v>69</v>
      </c>
      <c r="Q24" s="27">
        <v>69</v>
      </c>
      <c r="R24" s="27">
        <v>69</v>
      </c>
      <c r="S24" s="27">
        <v>69</v>
      </c>
      <c r="T24" s="27">
        <v>69</v>
      </c>
      <c r="U24" s="37">
        <f>SUM(B24:T24)</f>
        <v>1311</v>
      </c>
      <c r="V24" s="38">
        <v>0</v>
      </c>
      <c r="W24" s="39">
        <f>U24-U24</f>
        <v>0</v>
      </c>
      <c r="X24" s="35">
        <f>T24</f>
        <v>69</v>
      </c>
    </row>
    <row r="25" spans="1:24" ht="17" thickBot="1" x14ac:dyDescent="0.25">
      <c r="X25" s="35"/>
    </row>
    <row r="26" spans="1:24" ht="17" thickBot="1" x14ac:dyDescent="0.25">
      <c r="A26" s="52" t="s">
        <v>102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0">
        <v>0</v>
      </c>
      <c r="U26" s="54"/>
      <c r="X26" s="53">
        <v>0</v>
      </c>
    </row>
    <row r="27" spans="1:24" ht="17" thickBot="1" x14ac:dyDescent="0.25">
      <c r="X27" s="35"/>
    </row>
    <row r="28" spans="1:24" ht="17" thickBot="1" x14ac:dyDescent="0.25">
      <c r="A28" s="57" t="s">
        <v>105</v>
      </c>
      <c r="B28" s="58">
        <f>B24</f>
        <v>69</v>
      </c>
      <c r="C28" s="58">
        <v>100</v>
      </c>
      <c r="D28" s="58">
        <f>D24*0.7</f>
        <v>48.3</v>
      </c>
      <c r="E28" s="58">
        <f t="shared" ref="E28:J28" si="1">D28</f>
        <v>48.3</v>
      </c>
      <c r="F28" s="58">
        <f t="shared" si="1"/>
        <v>48.3</v>
      </c>
      <c r="G28" s="58">
        <f t="shared" si="1"/>
        <v>48.3</v>
      </c>
      <c r="H28" s="58">
        <f t="shared" si="1"/>
        <v>48.3</v>
      </c>
      <c r="I28" s="58">
        <f t="shared" si="1"/>
        <v>48.3</v>
      </c>
      <c r="J28" s="58">
        <f t="shared" si="1"/>
        <v>48.3</v>
      </c>
      <c r="K28" s="58">
        <f>J28</f>
        <v>48.3</v>
      </c>
      <c r="L28" s="58">
        <f>D28</f>
        <v>48.3</v>
      </c>
      <c r="M28" s="58">
        <f>E28</f>
        <v>48.3</v>
      </c>
      <c r="N28" s="58">
        <f>F28</f>
        <v>48.3</v>
      </c>
      <c r="O28" s="58">
        <f>G28</f>
        <v>48.3</v>
      </c>
      <c r="P28" s="58">
        <f t="shared" ref="P28:T28" si="2">H28</f>
        <v>48.3</v>
      </c>
      <c r="Q28" s="58">
        <f t="shared" si="2"/>
        <v>48.3</v>
      </c>
      <c r="R28" s="58">
        <f t="shared" si="2"/>
        <v>48.3</v>
      </c>
      <c r="S28" s="58">
        <f t="shared" si="2"/>
        <v>48.3</v>
      </c>
      <c r="T28" s="58">
        <f t="shared" si="2"/>
        <v>48.3</v>
      </c>
      <c r="U28" s="37">
        <f>SUM(B28:T28)</f>
        <v>990.09999999999968</v>
      </c>
      <c r="V28" s="38"/>
      <c r="W28" s="38"/>
      <c r="X28" s="35"/>
    </row>
    <row r="29" spans="1:24" ht="17" thickBot="1" x14ac:dyDescent="0.25">
      <c r="A29" s="59" t="s">
        <v>79</v>
      </c>
      <c r="C29" s="60">
        <f>B6*0.25*0.4</f>
        <v>2403.2150000000001</v>
      </c>
      <c r="L29" s="61" t="s">
        <v>88</v>
      </c>
      <c r="U29" s="37">
        <f>SUM(B29:T29)</f>
        <v>2403.2150000000001</v>
      </c>
      <c r="V29" s="38"/>
      <c r="W29" s="38"/>
      <c r="X29" s="35"/>
    </row>
    <row r="30" spans="1:24" ht="17" thickBot="1" x14ac:dyDescent="0.25">
      <c r="A30" s="59" t="s">
        <v>80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-5</v>
      </c>
      <c r="J30" s="19">
        <v>-10</v>
      </c>
      <c r="K30" s="19">
        <f>J30</f>
        <v>-10</v>
      </c>
      <c r="L30" s="62">
        <v>-15</v>
      </c>
      <c r="M30" s="19">
        <v>-20</v>
      </c>
      <c r="N30" s="19">
        <v>-20</v>
      </c>
      <c r="O30" s="19">
        <v>-25</v>
      </c>
      <c r="P30" s="19">
        <v>-30</v>
      </c>
      <c r="Q30" s="19">
        <v>-35</v>
      </c>
      <c r="R30" s="19">
        <v>-40</v>
      </c>
      <c r="S30" s="19">
        <v>-45</v>
      </c>
      <c r="T30" s="19">
        <v>-48</v>
      </c>
      <c r="U30" s="37">
        <f>SUM(B30:T30)</f>
        <v>-303</v>
      </c>
      <c r="V30" s="41"/>
      <c r="W30" s="41"/>
      <c r="X30" s="35"/>
    </row>
    <row r="31" spans="1:24" ht="17" thickBot="1" x14ac:dyDescent="0.25">
      <c r="A31" s="59" t="s">
        <v>81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f>J31</f>
        <v>0</v>
      </c>
      <c r="L31" s="19">
        <f>K31</f>
        <v>0</v>
      </c>
      <c r="M31" s="19">
        <f t="shared" ref="M31:T31" si="3">L31</f>
        <v>0</v>
      </c>
      <c r="N31" s="19">
        <f t="shared" si="3"/>
        <v>0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37">
        <f>SUM(B31:T31)</f>
        <v>0</v>
      </c>
      <c r="V31" s="41"/>
      <c r="W31" s="41"/>
      <c r="X31" s="35"/>
    </row>
    <row r="32" spans="1:24" ht="17" thickBot="1" x14ac:dyDescent="0.25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5"/>
      <c r="L32" s="64"/>
      <c r="M32" s="64"/>
      <c r="N32" s="64"/>
      <c r="O32" s="64"/>
      <c r="P32" s="64"/>
      <c r="Q32" s="64"/>
      <c r="R32" s="64"/>
      <c r="S32" s="64"/>
      <c r="T32" s="64"/>
      <c r="U32" s="67">
        <f>U28+U31+U30+U29</f>
        <v>3090.3149999999996</v>
      </c>
      <c r="V32" s="42">
        <f>U24-U32</f>
        <v>-1779.3149999999996</v>
      </c>
      <c r="W32" s="43">
        <f>V32/U24</f>
        <v>-1.3572196796338669</v>
      </c>
      <c r="X32" s="41">
        <f>T28+T30</f>
        <v>0.29999999999999716</v>
      </c>
    </row>
    <row r="33" spans="1:24" x14ac:dyDescent="0.2">
      <c r="U33" s="38"/>
      <c r="X33" s="35"/>
    </row>
    <row r="34" spans="1:24" x14ac:dyDescent="0.2">
      <c r="U34" s="38"/>
    </row>
    <row r="35" spans="1:24" ht="17" thickBot="1" x14ac:dyDescent="0.25">
      <c r="U35" s="38"/>
    </row>
    <row r="36" spans="1:24" ht="17" thickBot="1" x14ac:dyDescent="0.25">
      <c r="A36" s="66" t="s">
        <v>89</v>
      </c>
      <c r="B36" s="58">
        <f>B28</f>
        <v>69</v>
      </c>
      <c r="C36" s="58">
        <f>B36</f>
        <v>69</v>
      </c>
      <c r="D36" s="58">
        <f t="shared" ref="D36" si="4">C36</f>
        <v>69</v>
      </c>
      <c r="E36" s="58">
        <v>200</v>
      </c>
      <c r="F36" s="58">
        <v>14</v>
      </c>
      <c r="G36" s="58">
        <v>14</v>
      </c>
      <c r="H36" s="58">
        <v>14</v>
      </c>
      <c r="I36" s="58">
        <v>14</v>
      </c>
      <c r="J36" s="58">
        <v>14</v>
      </c>
      <c r="K36" s="58">
        <v>14</v>
      </c>
      <c r="L36" s="58">
        <v>14</v>
      </c>
      <c r="M36" s="58">
        <v>14</v>
      </c>
      <c r="N36" s="58">
        <v>14</v>
      </c>
      <c r="O36" s="58">
        <v>14</v>
      </c>
      <c r="P36" s="58">
        <v>14</v>
      </c>
      <c r="Q36" s="58">
        <v>14</v>
      </c>
      <c r="R36" s="58">
        <v>14</v>
      </c>
      <c r="S36" s="58">
        <v>14</v>
      </c>
      <c r="T36" s="58">
        <v>14</v>
      </c>
      <c r="U36" s="37">
        <f>SUM(B36:T36)</f>
        <v>617</v>
      </c>
      <c r="V36" s="38"/>
      <c r="W36" s="38"/>
      <c r="X36" s="35"/>
    </row>
    <row r="37" spans="1:24" ht="17" thickBot="1" x14ac:dyDescent="0.25">
      <c r="A37" s="86" t="s">
        <v>117</v>
      </c>
      <c r="D37" s="60">
        <f>B18</f>
        <v>937.25385000000006</v>
      </c>
      <c r="E37" s="19">
        <f>5500</f>
        <v>5500</v>
      </c>
      <c r="F37" s="19">
        <f>5500</f>
        <v>5500</v>
      </c>
      <c r="G37" s="34">
        <f>B16-F37-E37</f>
        <v>2391.8600000000006</v>
      </c>
      <c r="L37" s="61" t="s">
        <v>88</v>
      </c>
      <c r="U37" s="37">
        <f>SUM(B37:T37)</f>
        <v>14329.113850000002</v>
      </c>
      <c r="V37" s="38"/>
      <c r="W37" s="38"/>
      <c r="X37" s="35"/>
    </row>
    <row r="38" spans="1:24" ht="17" thickBot="1" x14ac:dyDescent="0.25">
      <c r="A38" s="59" t="s">
        <v>80</v>
      </c>
      <c r="D38" s="19">
        <f t="shared" ref="D38:F38" si="5">C38</f>
        <v>0</v>
      </c>
      <c r="E38" s="19">
        <f t="shared" si="5"/>
        <v>0</v>
      </c>
      <c r="F38" s="19">
        <f t="shared" si="5"/>
        <v>0</v>
      </c>
      <c r="G38" s="19">
        <f>F38</f>
        <v>0</v>
      </c>
      <c r="H38" s="19">
        <f t="shared" ref="H38" si="6">G38</f>
        <v>0</v>
      </c>
      <c r="I38" s="19">
        <v>-2</v>
      </c>
      <c r="J38" s="19">
        <v>-3</v>
      </c>
      <c r="K38" s="19">
        <v>-5</v>
      </c>
      <c r="L38" s="19">
        <f>K38</f>
        <v>-5</v>
      </c>
      <c r="M38" s="19">
        <v>-7</v>
      </c>
      <c r="N38" s="19">
        <v>-10</v>
      </c>
      <c r="O38" s="19">
        <v>-11</v>
      </c>
      <c r="P38" s="19">
        <v>-12</v>
      </c>
      <c r="Q38" s="19">
        <v>-13</v>
      </c>
      <c r="R38" s="19">
        <v>-14</v>
      </c>
      <c r="S38" s="19">
        <v>-14</v>
      </c>
      <c r="T38" s="19">
        <f t="shared" ref="T38" si="7">R38</f>
        <v>-14</v>
      </c>
      <c r="U38" s="37">
        <f>SUM(B38:T38)</f>
        <v>-110</v>
      </c>
      <c r="V38" s="38"/>
      <c r="W38" s="38"/>
      <c r="X38" s="35"/>
    </row>
    <row r="39" spans="1:24" ht="17" thickBot="1" x14ac:dyDescent="0.25">
      <c r="A39" s="59" t="s">
        <v>81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>J39</f>
        <v>0</v>
      </c>
      <c r="L39" s="19">
        <f>K39</f>
        <v>0</v>
      </c>
      <c r="M39" s="19">
        <f t="shared" ref="M39:T39" si="8">L39</f>
        <v>0</v>
      </c>
      <c r="N39" s="19">
        <f t="shared" si="8"/>
        <v>0</v>
      </c>
      <c r="O39" s="19">
        <f t="shared" si="8"/>
        <v>0</v>
      </c>
      <c r="P39" s="19">
        <f t="shared" si="8"/>
        <v>0</v>
      </c>
      <c r="Q39" s="19">
        <f t="shared" si="8"/>
        <v>0</v>
      </c>
      <c r="R39" s="19">
        <f t="shared" si="8"/>
        <v>0</v>
      </c>
      <c r="S39" s="19">
        <f t="shared" si="8"/>
        <v>0</v>
      </c>
      <c r="T39" s="19">
        <f t="shared" si="8"/>
        <v>0</v>
      </c>
      <c r="U39" s="37">
        <f>SUM(B39:T39)</f>
        <v>0</v>
      </c>
      <c r="V39" s="38"/>
      <c r="W39" s="38"/>
      <c r="X39" s="35"/>
    </row>
    <row r="40" spans="1:24" ht="17" thickBot="1" x14ac:dyDescent="0.2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5"/>
      <c r="L40" s="64"/>
      <c r="M40" s="64"/>
      <c r="N40" s="64"/>
      <c r="O40" s="64"/>
      <c r="P40" s="64"/>
      <c r="Q40" s="64"/>
      <c r="R40" s="64"/>
      <c r="S40" s="64"/>
      <c r="T40" s="64"/>
      <c r="U40" s="67">
        <f>U36+U39+U38+U37</f>
        <v>14836.113850000002</v>
      </c>
      <c r="V40" s="42">
        <f>U24-U40</f>
        <v>-13525.113850000002</v>
      </c>
      <c r="W40" s="43">
        <f>V40/U24</f>
        <v>-10.316639092295958</v>
      </c>
      <c r="X40" s="41">
        <f>T36+T38</f>
        <v>0</v>
      </c>
    </row>
    <row r="42" spans="1:24" x14ac:dyDescent="0.2">
      <c r="A42" s="69" t="s">
        <v>118</v>
      </c>
    </row>
  </sheetData>
  <pageMargins left="0.7" right="0.7" top="0.78740157499999996" bottom="0.78740157499999996" header="0.3" footer="0.3"/>
  <pageSetup paperSize="9" scale="36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34185-122F-2D45-8918-B786F11AA763}">
  <sheetPr>
    <pageSetUpPr fitToPage="1"/>
  </sheetPr>
  <dimension ref="A1:DF19"/>
  <sheetViews>
    <sheetView zoomScale="75" zoomScaleNormal="100" zoomScalePageLayoutView="85" workbookViewId="0">
      <selection activeCell="B30" sqref="B30"/>
    </sheetView>
  </sheetViews>
  <sheetFormatPr baseColWidth="10" defaultRowHeight="16" x14ac:dyDescent="0.2"/>
  <cols>
    <col min="1" max="1" width="50" style="70" customWidth="1"/>
    <col min="2" max="2" width="9.6640625" style="70" customWidth="1"/>
    <col min="3" max="3" width="6.83203125" style="70" customWidth="1"/>
    <col min="4" max="4" width="10.33203125" style="70" customWidth="1"/>
    <col min="5" max="5" width="6.83203125" style="70" customWidth="1"/>
    <col min="6" max="6" width="10.33203125" style="70" customWidth="1"/>
    <col min="7" max="7" width="6.83203125" style="70" customWidth="1"/>
    <col min="8" max="8" width="10.33203125" style="70" customWidth="1"/>
    <col min="9" max="9" width="6.83203125" style="70" customWidth="1"/>
    <col min="10" max="10" width="10.33203125" style="70" customWidth="1"/>
    <col min="11" max="11" width="6.83203125" style="70" customWidth="1"/>
    <col min="12" max="12" width="10.33203125" style="70" customWidth="1"/>
    <col min="13" max="13" width="6.83203125" style="70" customWidth="1"/>
    <col min="14" max="14" width="10.33203125" style="70" customWidth="1"/>
    <col min="15" max="15" width="6.83203125" style="70" customWidth="1"/>
    <col min="16" max="16" width="10.33203125" style="70" customWidth="1"/>
    <col min="17" max="17" width="6.83203125" style="70" customWidth="1"/>
    <col min="18" max="18" width="10.33203125" style="70" customWidth="1"/>
    <col min="19" max="19" width="6.83203125" style="70" customWidth="1"/>
    <col min="20" max="20" width="10.33203125" style="70" customWidth="1"/>
    <col min="21" max="21" width="6.83203125" style="70" customWidth="1"/>
    <col min="22" max="22" width="10.33203125" style="70" customWidth="1"/>
    <col min="23" max="23" width="6.83203125" style="70" customWidth="1"/>
    <col min="24" max="24" width="10.33203125" style="70" customWidth="1"/>
    <col min="25" max="25" width="6.83203125" style="70" customWidth="1"/>
    <col min="26" max="26" width="10.33203125" style="70" customWidth="1"/>
    <col min="27" max="27" width="6.83203125" style="70" customWidth="1"/>
    <col min="28" max="28" width="10.33203125" style="70" customWidth="1"/>
    <col min="29" max="29" width="6.83203125" style="70" customWidth="1"/>
    <col min="30" max="30" width="10.33203125" style="70" customWidth="1"/>
    <col min="31" max="31" width="6.83203125" style="70" customWidth="1"/>
    <col min="32" max="32" width="10.33203125" style="70" customWidth="1"/>
    <col min="33" max="33" width="6.83203125" style="70" customWidth="1"/>
    <col min="34" max="34" width="10.33203125" style="70" customWidth="1"/>
    <col min="35" max="35" width="6.83203125" style="70" customWidth="1"/>
    <col min="36" max="36" width="10.33203125" style="70" customWidth="1"/>
    <col min="37" max="37" width="6.83203125" style="70" customWidth="1"/>
    <col min="38" max="38" width="10.33203125" style="70" customWidth="1"/>
    <col min="39" max="39" width="6.83203125" style="70" customWidth="1"/>
    <col min="40" max="40" width="10.33203125" style="70" customWidth="1"/>
    <col min="41" max="41" width="6.83203125" style="70" customWidth="1"/>
    <col min="42" max="42" width="10.33203125" style="70" customWidth="1"/>
    <col min="43" max="43" width="6.83203125" style="70" customWidth="1"/>
    <col min="44" max="44" width="10.33203125" style="70" customWidth="1"/>
    <col min="45" max="106" width="10.83203125" style="71"/>
    <col min="107" max="16384" width="10.83203125" style="70"/>
  </cols>
  <sheetData>
    <row r="1" spans="1:110" x14ac:dyDescent="0.2">
      <c r="A1" s="79" t="s">
        <v>122</v>
      </c>
      <c r="B1" s="70" t="s">
        <v>106</v>
      </c>
      <c r="C1" s="70">
        <v>2020</v>
      </c>
      <c r="D1" s="70" t="s">
        <v>107</v>
      </c>
      <c r="E1" s="70">
        <v>2021</v>
      </c>
      <c r="F1" s="70" t="s">
        <v>107</v>
      </c>
      <c r="G1" s="70">
        <v>2022</v>
      </c>
      <c r="H1" s="70" t="s">
        <v>107</v>
      </c>
      <c r="I1" s="70">
        <v>2023</v>
      </c>
      <c r="J1" s="70" t="s">
        <v>107</v>
      </c>
      <c r="K1" s="70">
        <v>2024</v>
      </c>
      <c r="L1" s="70" t="s">
        <v>107</v>
      </c>
      <c r="M1" s="70">
        <v>2025</v>
      </c>
      <c r="N1" s="70" t="s">
        <v>107</v>
      </c>
      <c r="O1" s="70">
        <v>2026</v>
      </c>
      <c r="P1" s="70" t="s">
        <v>107</v>
      </c>
      <c r="Q1" s="70">
        <v>2027</v>
      </c>
      <c r="R1" s="70" t="s">
        <v>107</v>
      </c>
      <c r="S1" s="70">
        <v>2028</v>
      </c>
      <c r="T1" s="70" t="s">
        <v>107</v>
      </c>
      <c r="U1" s="70">
        <v>2029</v>
      </c>
      <c r="V1" s="70" t="s">
        <v>107</v>
      </c>
      <c r="W1" s="70">
        <v>2030</v>
      </c>
      <c r="X1" s="70" t="s">
        <v>107</v>
      </c>
      <c r="Y1" s="70">
        <v>2031</v>
      </c>
      <c r="Z1" s="70" t="s">
        <v>107</v>
      </c>
      <c r="AA1" s="70">
        <v>2032</v>
      </c>
      <c r="AB1" s="70" t="s">
        <v>107</v>
      </c>
      <c r="AC1" s="70">
        <v>2033</v>
      </c>
      <c r="AD1" s="70" t="s">
        <v>107</v>
      </c>
      <c r="AE1" s="70">
        <v>2034</v>
      </c>
      <c r="AF1" s="70" t="s">
        <v>107</v>
      </c>
      <c r="AG1" s="70">
        <v>2035</v>
      </c>
      <c r="AH1" s="70" t="s">
        <v>107</v>
      </c>
      <c r="AI1" s="70">
        <v>2036</v>
      </c>
      <c r="AJ1" s="70" t="s">
        <v>107</v>
      </c>
      <c r="AK1" s="70">
        <v>2037</v>
      </c>
      <c r="AL1" s="70" t="s">
        <v>107</v>
      </c>
      <c r="AM1" s="70">
        <v>2038</v>
      </c>
      <c r="AN1" s="70" t="s">
        <v>107</v>
      </c>
      <c r="AO1" s="70">
        <v>2039</v>
      </c>
      <c r="AP1" s="70" t="s">
        <v>107</v>
      </c>
      <c r="AQ1" s="70">
        <v>2040</v>
      </c>
      <c r="AR1" s="70" t="s">
        <v>107</v>
      </c>
      <c r="AS1" s="71">
        <v>2035</v>
      </c>
      <c r="AT1" s="71" t="s">
        <v>107</v>
      </c>
      <c r="AU1" s="71">
        <v>2034</v>
      </c>
      <c r="AV1" s="71" t="s">
        <v>107</v>
      </c>
      <c r="AW1" s="71">
        <v>2035</v>
      </c>
      <c r="AX1" s="71" t="s">
        <v>107</v>
      </c>
      <c r="AY1" s="71">
        <v>2036</v>
      </c>
      <c r="AZ1" s="71" t="s">
        <v>107</v>
      </c>
      <c r="BA1" s="71">
        <v>2035</v>
      </c>
      <c r="BB1" s="71" t="s">
        <v>107</v>
      </c>
      <c r="BC1" s="71">
        <v>2036</v>
      </c>
      <c r="BD1" s="71" t="s">
        <v>107</v>
      </c>
      <c r="BE1" s="71">
        <v>2037</v>
      </c>
      <c r="BF1" s="71" t="s">
        <v>107</v>
      </c>
      <c r="BG1" s="71">
        <v>2036</v>
      </c>
      <c r="BH1" s="71" t="s">
        <v>107</v>
      </c>
      <c r="BI1" s="71">
        <v>2037</v>
      </c>
      <c r="BJ1" s="71" t="s">
        <v>107</v>
      </c>
      <c r="BK1" s="71">
        <v>2038</v>
      </c>
      <c r="BL1" s="71" t="s">
        <v>107</v>
      </c>
      <c r="BM1" s="71">
        <v>2037</v>
      </c>
      <c r="BN1" s="71" t="s">
        <v>107</v>
      </c>
      <c r="BO1" s="71">
        <v>2038</v>
      </c>
      <c r="BP1" s="71" t="s">
        <v>107</v>
      </c>
      <c r="BQ1" s="71">
        <v>2039</v>
      </c>
      <c r="BR1" s="71" t="s">
        <v>107</v>
      </c>
      <c r="BS1" s="71">
        <v>2038</v>
      </c>
      <c r="BT1" s="71" t="s">
        <v>107</v>
      </c>
      <c r="BU1" s="71">
        <v>2039</v>
      </c>
      <c r="BV1" s="71" t="s">
        <v>107</v>
      </c>
      <c r="BW1" s="71">
        <v>2040</v>
      </c>
      <c r="BX1" s="71" t="s">
        <v>107</v>
      </c>
      <c r="BY1" s="71">
        <v>2039</v>
      </c>
      <c r="BZ1" s="71" t="s">
        <v>107</v>
      </c>
      <c r="CA1" s="71">
        <v>2040</v>
      </c>
      <c r="CB1" s="71" t="s">
        <v>107</v>
      </c>
      <c r="CC1" s="71">
        <v>2041</v>
      </c>
      <c r="CD1" s="71" t="s">
        <v>107</v>
      </c>
      <c r="CE1" s="71">
        <v>2040</v>
      </c>
      <c r="CF1" s="71" t="s">
        <v>107</v>
      </c>
      <c r="CG1" s="71">
        <v>2041</v>
      </c>
      <c r="CH1" s="71" t="s">
        <v>107</v>
      </c>
      <c r="CI1" s="71">
        <v>2042</v>
      </c>
      <c r="CJ1" s="71" t="s">
        <v>107</v>
      </c>
      <c r="CK1" s="71">
        <v>2041</v>
      </c>
      <c r="CL1" s="71" t="s">
        <v>107</v>
      </c>
      <c r="CM1" s="71">
        <v>2042</v>
      </c>
      <c r="CN1" s="71" t="s">
        <v>107</v>
      </c>
      <c r="CO1" s="71">
        <v>2043</v>
      </c>
      <c r="CP1" s="71" t="s">
        <v>107</v>
      </c>
      <c r="CQ1" s="71">
        <v>2042</v>
      </c>
      <c r="CR1" s="71" t="s">
        <v>107</v>
      </c>
      <c r="CS1" s="71">
        <v>2043</v>
      </c>
      <c r="CT1" s="71" t="s">
        <v>107</v>
      </c>
      <c r="CU1" s="71">
        <v>2044</v>
      </c>
      <c r="CV1" s="71" t="s">
        <v>107</v>
      </c>
      <c r="CW1" s="71">
        <v>2043</v>
      </c>
      <c r="CX1" s="71" t="s">
        <v>107</v>
      </c>
      <c r="CY1" s="71">
        <v>2044</v>
      </c>
      <c r="CZ1" s="71" t="s">
        <v>107</v>
      </c>
      <c r="DA1" s="71">
        <v>2045</v>
      </c>
      <c r="DB1" s="71" t="s">
        <v>107</v>
      </c>
      <c r="DC1" s="70">
        <v>2044</v>
      </c>
      <c r="DD1" s="70" t="s">
        <v>107</v>
      </c>
      <c r="DE1" s="70">
        <v>2045</v>
      </c>
      <c r="DF1" s="70" t="s">
        <v>107</v>
      </c>
    </row>
    <row r="2" spans="1:110" x14ac:dyDescent="0.2">
      <c r="C2" s="80" t="s">
        <v>111</v>
      </c>
      <c r="E2" s="80" t="s">
        <v>111</v>
      </c>
      <c r="G2" s="80" t="s">
        <v>111</v>
      </c>
      <c r="I2" s="80" t="s">
        <v>111</v>
      </c>
      <c r="K2" s="80" t="s">
        <v>111</v>
      </c>
      <c r="M2" s="80" t="s">
        <v>111</v>
      </c>
      <c r="O2" s="80" t="s">
        <v>111</v>
      </c>
      <c r="Q2" s="80" t="s">
        <v>111</v>
      </c>
      <c r="S2" s="80" t="s">
        <v>111</v>
      </c>
      <c r="U2" s="80" t="s">
        <v>111</v>
      </c>
      <c r="W2" s="80" t="s">
        <v>111</v>
      </c>
      <c r="Y2" s="80" t="s">
        <v>111</v>
      </c>
      <c r="AA2" s="80" t="s">
        <v>111</v>
      </c>
      <c r="AC2" s="80" t="s">
        <v>111</v>
      </c>
      <c r="AE2" s="80" t="s">
        <v>111</v>
      </c>
      <c r="AG2" s="80" t="s">
        <v>111</v>
      </c>
      <c r="AI2" s="80" t="s">
        <v>111</v>
      </c>
      <c r="AK2" s="80" t="s">
        <v>111</v>
      </c>
      <c r="AM2" s="80" t="s">
        <v>111</v>
      </c>
      <c r="AO2" s="80" t="s">
        <v>111</v>
      </c>
      <c r="AQ2" s="80" t="s">
        <v>111</v>
      </c>
    </row>
    <row r="3" spans="1:110" x14ac:dyDescent="0.2">
      <c r="A3" s="80" t="s">
        <v>124</v>
      </c>
      <c r="C3" s="79">
        <v>44.66</v>
      </c>
      <c r="D3" s="76"/>
    </row>
    <row r="5" spans="1:110" x14ac:dyDescent="0.2">
      <c r="A5" s="80" t="s">
        <v>112</v>
      </c>
      <c r="B5" s="81">
        <v>8700000</v>
      </c>
      <c r="C5" s="83">
        <v>1.62</v>
      </c>
      <c r="D5" s="72">
        <f>(C5/8.7)</f>
        <v>0.18620689655172418</v>
      </c>
      <c r="E5" s="72">
        <f>(C5/20)*19</f>
        <v>1.5390000000000001</v>
      </c>
      <c r="F5" s="72">
        <f>(E5/8.7)</f>
        <v>0.17689655172413796</v>
      </c>
      <c r="G5" s="72">
        <f>(C5/20)*18</f>
        <v>1.458</v>
      </c>
      <c r="H5" s="72">
        <f>(G5/8.7)</f>
        <v>0.16758620689655174</v>
      </c>
      <c r="I5" s="72">
        <f>C5/20*17</f>
        <v>1.377</v>
      </c>
      <c r="J5" s="72">
        <f>(I5/8.7)</f>
        <v>0.15827586206896552</v>
      </c>
      <c r="K5" s="72">
        <f>C5/20*16</f>
        <v>1.296</v>
      </c>
      <c r="L5" s="72">
        <f>(K5/8.7)</f>
        <v>0.14896551724137932</v>
      </c>
      <c r="M5" s="72">
        <f>C5/20*15</f>
        <v>1.2150000000000001</v>
      </c>
      <c r="N5" s="72">
        <f>(M5/8.7)</f>
        <v>0.13965517241379313</v>
      </c>
      <c r="O5" s="72">
        <f>C5/20*14</f>
        <v>1.1340000000000001</v>
      </c>
      <c r="P5" s="72">
        <f>(O5/8.7)</f>
        <v>0.13034482758620691</v>
      </c>
      <c r="Q5" s="72">
        <f>C5/20*13</f>
        <v>1.0529999999999999</v>
      </c>
      <c r="R5" s="72">
        <f>(Q5/8.7)</f>
        <v>0.12103448275862069</v>
      </c>
      <c r="S5" s="72">
        <f>C5/20*12</f>
        <v>0.97199999999999998</v>
      </c>
      <c r="T5" s="72">
        <f>(S5/8.7)</f>
        <v>0.11172413793103449</v>
      </c>
      <c r="U5" s="72">
        <f>C5/20*11</f>
        <v>0.89100000000000001</v>
      </c>
      <c r="V5" s="72">
        <f>(U5/8.7)</f>
        <v>0.10241379310344828</v>
      </c>
      <c r="W5" s="72">
        <f>C5/20*10</f>
        <v>0.81</v>
      </c>
      <c r="X5" s="72">
        <f>(W5/8.7)</f>
        <v>9.3103448275862088E-2</v>
      </c>
      <c r="Y5" s="72">
        <f>C5/20*9</f>
        <v>0.72899999999999998</v>
      </c>
      <c r="Z5" s="72">
        <f>(Y5/8.7)</f>
        <v>8.3793103448275869E-2</v>
      </c>
      <c r="AA5" s="72">
        <f>C5/20*8</f>
        <v>0.64800000000000002</v>
      </c>
      <c r="AB5" s="72">
        <f>(AA5/8.7)</f>
        <v>7.4482758620689662E-2</v>
      </c>
      <c r="AC5" s="72">
        <f>C5/20*7</f>
        <v>0.56700000000000006</v>
      </c>
      <c r="AD5" s="72">
        <f>(AC5/8.7)</f>
        <v>6.5172413793103456E-2</v>
      </c>
      <c r="AE5" s="72">
        <f>C5/20*6</f>
        <v>0.48599999999999999</v>
      </c>
      <c r="AF5" s="72">
        <f>(AE5/8.7)</f>
        <v>5.5862068965517243E-2</v>
      </c>
      <c r="AG5" s="72">
        <f>C5/20*5</f>
        <v>0.40500000000000003</v>
      </c>
      <c r="AH5" s="72">
        <f>(AG5/8.7)</f>
        <v>4.6551724137931044E-2</v>
      </c>
      <c r="AI5" s="72">
        <f>C5/20*4</f>
        <v>0.32400000000000001</v>
      </c>
      <c r="AJ5" s="72">
        <f>(AI5/8.7)</f>
        <v>3.7241379310344831E-2</v>
      </c>
      <c r="AK5" s="72">
        <f>C5/20*3</f>
        <v>0.24299999999999999</v>
      </c>
      <c r="AL5" s="72">
        <f>(AK5/8.7)</f>
        <v>2.7931034482758622E-2</v>
      </c>
      <c r="AM5" s="72">
        <f>C5/20*2</f>
        <v>0.16200000000000001</v>
      </c>
      <c r="AN5" s="72">
        <f>(AM5/8.7)</f>
        <v>1.8620689655172416E-2</v>
      </c>
      <c r="AO5" s="72">
        <f>C5/20*1</f>
        <v>8.1000000000000003E-2</v>
      </c>
      <c r="AP5" s="72">
        <f>(AO5/8.7)</f>
        <v>9.3103448275862078E-3</v>
      </c>
      <c r="AQ5" s="72">
        <f>C5/20*0</f>
        <v>0</v>
      </c>
      <c r="AR5" s="72">
        <f>(AQ5/8.7)</f>
        <v>0</v>
      </c>
    </row>
    <row r="6" spans="1:110" s="73" customFormat="1" hidden="1" x14ac:dyDescent="0.2">
      <c r="A6" s="73" t="s">
        <v>108</v>
      </c>
      <c r="B6" s="74">
        <v>48100</v>
      </c>
      <c r="C6" s="74"/>
      <c r="D6" s="74">
        <f>D5*B6</f>
        <v>8956.551724137933</v>
      </c>
      <c r="E6" s="74"/>
      <c r="F6" s="74">
        <f>F5*B6</f>
        <v>8508.7241379310362</v>
      </c>
      <c r="G6" s="74"/>
      <c r="H6" s="74">
        <f>H5*B6</f>
        <v>8060.8965517241386</v>
      </c>
      <c r="I6" s="74"/>
      <c r="J6" s="74">
        <f>J5*B6</f>
        <v>7613.0689655172409</v>
      </c>
      <c r="K6" s="74"/>
      <c r="L6" s="74">
        <f>L5*B6</f>
        <v>7165.2413793103451</v>
      </c>
      <c r="M6" s="74"/>
      <c r="N6" s="74">
        <f>N5*B6</f>
        <v>6717.4137931034493</v>
      </c>
      <c r="O6" s="74"/>
      <c r="P6" s="74">
        <f>P5*B6</f>
        <v>6269.5862068965525</v>
      </c>
      <c r="Q6" s="74"/>
      <c r="R6" s="74">
        <f>R5*B6</f>
        <v>5821.7586206896549</v>
      </c>
      <c r="S6" s="74"/>
      <c r="T6" s="74">
        <f>T5*B6</f>
        <v>5373.9310344827591</v>
      </c>
      <c r="U6" s="74"/>
      <c r="V6" s="74">
        <f>V5*B6</f>
        <v>4926.1034482758623</v>
      </c>
      <c r="W6" s="74"/>
      <c r="X6" s="74">
        <f>X5*B6</f>
        <v>4478.2758620689665</v>
      </c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</row>
    <row r="7" spans="1:110" s="77" customFormat="1" x14ac:dyDescent="0.2">
      <c r="A7" s="87" t="s">
        <v>109</v>
      </c>
      <c r="B7" s="82">
        <v>439000</v>
      </c>
      <c r="C7" s="78"/>
      <c r="D7" s="78">
        <f>B7*D5</f>
        <v>81744.827586206913</v>
      </c>
      <c r="E7" s="78"/>
      <c r="F7" s="78">
        <f>F5*B7</f>
        <v>77657.586206896565</v>
      </c>
      <c r="G7" s="78"/>
      <c r="H7" s="78">
        <f>H5*B7</f>
        <v>73570.344827586217</v>
      </c>
      <c r="I7" s="78"/>
      <c r="J7" s="78">
        <f>J5*B7</f>
        <v>69483.103448275855</v>
      </c>
      <c r="K7" s="78"/>
      <c r="L7" s="78">
        <f>L5*B7</f>
        <v>65395.862068965522</v>
      </c>
      <c r="M7" s="78"/>
      <c r="N7" s="78">
        <f>N5*B7</f>
        <v>61308.620689655188</v>
      </c>
      <c r="O7" s="78"/>
      <c r="P7" s="78">
        <f>P5*B7</f>
        <v>57221.379310344833</v>
      </c>
      <c r="Q7" s="78"/>
      <c r="R7" s="78">
        <f>R5*B7</f>
        <v>53134.137931034486</v>
      </c>
      <c r="S7" s="78"/>
      <c r="T7" s="78">
        <f>T5*B7</f>
        <v>49046.896551724138</v>
      </c>
      <c r="U7" s="78"/>
      <c r="V7" s="78">
        <f>V5*B7</f>
        <v>44959.655172413797</v>
      </c>
      <c r="W7" s="78"/>
      <c r="X7" s="78">
        <f>X5*B7</f>
        <v>40872.413793103457</v>
      </c>
      <c r="Y7" s="78"/>
      <c r="Z7" s="78">
        <f>Z5*B7</f>
        <v>36785.172413793109</v>
      </c>
      <c r="AA7" s="78"/>
      <c r="AB7" s="78">
        <f>AB5*B7</f>
        <v>32697.931034482761</v>
      </c>
      <c r="AC7" s="78"/>
      <c r="AD7" s="78">
        <f>AD5*B7</f>
        <v>28610.689655172417</v>
      </c>
      <c r="AE7" s="78"/>
      <c r="AF7" s="78">
        <f>AF5*B7</f>
        <v>24523.448275862069</v>
      </c>
      <c r="AG7" s="78"/>
      <c r="AH7" s="78">
        <f>AH5*B7</f>
        <v>20436.206896551728</v>
      </c>
      <c r="AI7" s="78"/>
      <c r="AJ7" s="78">
        <f>AJ5*B7</f>
        <v>16348.96551724138</v>
      </c>
      <c r="AK7" s="78"/>
      <c r="AL7" s="78">
        <f>B7*AL5</f>
        <v>12261.724137931034</v>
      </c>
      <c r="AM7" s="78"/>
      <c r="AN7" s="78">
        <f>AN5*B7</f>
        <v>8174.4827586206902</v>
      </c>
      <c r="AO7" s="78"/>
      <c r="AP7" s="78">
        <f>AP5*B7</f>
        <v>4087.2413793103451</v>
      </c>
      <c r="AQ7" s="78"/>
      <c r="AR7" s="78">
        <f>AR5*B7</f>
        <v>0</v>
      </c>
    </row>
    <row r="9" spans="1:110" x14ac:dyDescent="0.2">
      <c r="A9" s="80" t="s">
        <v>113</v>
      </c>
      <c r="C9" s="83">
        <v>6.48</v>
      </c>
      <c r="D9" s="72">
        <f>(C9/8.7)</f>
        <v>0.74482758620689671</v>
      </c>
      <c r="E9" s="72">
        <f>(C9/20)*19</f>
        <v>6.1560000000000006</v>
      </c>
      <c r="F9" s="72">
        <f>(E9/8.7)</f>
        <v>0.70758620689655183</v>
      </c>
      <c r="G9" s="72">
        <f>(C9/20)*18</f>
        <v>5.8319999999999999</v>
      </c>
      <c r="H9" s="72">
        <f>(G9/8.7)</f>
        <v>0.67034482758620695</v>
      </c>
      <c r="I9" s="72">
        <f>C9/20*17</f>
        <v>5.508</v>
      </c>
      <c r="J9" s="72">
        <f>(I9/8.7)</f>
        <v>0.63310344827586207</v>
      </c>
      <c r="K9" s="72">
        <f>C9/20*16</f>
        <v>5.1840000000000002</v>
      </c>
      <c r="L9" s="72">
        <f>(K9/8.7)</f>
        <v>0.5958620689655173</v>
      </c>
      <c r="M9" s="72">
        <f>C9/20*15</f>
        <v>4.8600000000000003</v>
      </c>
      <c r="N9" s="72">
        <f>(M9/8.7)</f>
        <v>0.55862068965517253</v>
      </c>
      <c r="O9" s="72">
        <f>C9/20*14</f>
        <v>4.5360000000000005</v>
      </c>
      <c r="P9" s="72">
        <f>(O9/8.7)</f>
        <v>0.52137931034482765</v>
      </c>
      <c r="Q9" s="72">
        <f>C9/20*13</f>
        <v>4.2119999999999997</v>
      </c>
      <c r="R9" s="72">
        <f>(Q9/8.7)</f>
        <v>0.48413793103448277</v>
      </c>
      <c r="S9" s="72">
        <f>C9/20*12</f>
        <v>3.8879999999999999</v>
      </c>
      <c r="T9" s="72">
        <f>(S9/8.7)</f>
        <v>0.44689655172413795</v>
      </c>
      <c r="U9" s="72">
        <f>C9/20*11</f>
        <v>3.5640000000000001</v>
      </c>
      <c r="V9" s="72">
        <f>(U9/8.7)</f>
        <v>0.40965517241379312</v>
      </c>
      <c r="W9" s="72">
        <f>C9/20*10</f>
        <v>3.24</v>
      </c>
      <c r="X9" s="72">
        <f>(W9/8.7)</f>
        <v>0.37241379310344835</v>
      </c>
      <c r="Y9" s="72">
        <f>C9/20*9</f>
        <v>2.9159999999999999</v>
      </c>
      <c r="Z9" s="72">
        <f>(Y9/8.7)</f>
        <v>0.33517241379310347</v>
      </c>
      <c r="AA9" s="72">
        <f>C9/20*8</f>
        <v>2.5920000000000001</v>
      </c>
      <c r="AB9" s="72">
        <f>(AA9/8.7)</f>
        <v>0.29793103448275865</v>
      </c>
      <c r="AC9" s="72">
        <f>C9/20*7</f>
        <v>2.2680000000000002</v>
      </c>
      <c r="AD9" s="72">
        <f>(AC9/8.7)</f>
        <v>0.26068965517241383</v>
      </c>
      <c r="AE9" s="72">
        <f>C9/20*6</f>
        <v>1.944</v>
      </c>
      <c r="AF9" s="72">
        <f>(AE9/8.7)</f>
        <v>0.22344827586206897</v>
      </c>
      <c r="AG9" s="72">
        <f>C9/20*5</f>
        <v>1.62</v>
      </c>
      <c r="AH9" s="72">
        <f>(AG9/8.7)</f>
        <v>0.18620689655172418</v>
      </c>
      <c r="AI9" s="72">
        <f>C9/20*4</f>
        <v>1.296</v>
      </c>
      <c r="AJ9" s="72">
        <f>(AI9/8.7)</f>
        <v>0.14896551724137932</v>
      </c>
      <c r="AK9" s="72">
        <f>C9/20*3</f>
        <v>0.97199999999999998</v>
      </c>
      <c r="AL9" s="72">
        <f>(AK9/8.7)</f>
        <v>0.11172413793103449</v>
      </c>
      <c r="AM9" s="72">
        <f>C9/20*2</f>
        <v>0.64800000000000002</v>
      </c>
      <c r="AN9" s="72">
        <f>(AM9/8.7)</f>
        <v>7.4482758620689662E-2</v>
      </c>
      <c r="AO9" s="72">
        <f>C9/20*1</f>
        <v>0.32400000000000001</v>
      </c>
      <c r="AP9" s="72">
        <f>(AO9/8.7)</f>
        <v>3.7241379310344831E-2</v>
      </c>
      <c r="AQ9" s="72">
        <f>C9/20*0</f>
        <v>0</v>
      </c>
      <c r="AR9" s="72">
        <f>(AQ9/8.7)</f>
        <v>0</v>
      </c>
    </row>
    <row r="10" spans="1:110" s="73" customFormat="1" hidden="1" x14ac:dyDescent="0.2">
      <c r="A10" s="73" t="s">
        <v>108</v>
      </c>
      <c r="B10" s="74">
        <v>48100</v>
      </c>
      <c r="C10" s="74"/>
      <c r="D10" s="74">
        <f>D9*B10</f>
        <v>35826.206896551732</v>
      </c>
      <c r="E10" s="74"/>
      <c r="F10" s="74">
        <f>F9*B10</f>
        <v>34034.896551724145</v>
      </c>
      <c r="G10" s="74"/>
      <c r="H10" s="74">
        <f>H9*B10</f>
        <v>32243.586206896554</v>
      </c>
      <c r="I10" s="74"/>
      <c r="J10" s="74">
        <f>J9*B10</f>
        <v>30452.275862068964</v>
      </c>
      <c r="K10" s="74"/>
      <c r="L10" s="74">
        <f>L9*B10</f>
        <v>28660.96551724138</v>
      </c>
      <c r="M10" s="74"/>
      <c r="N10" s="74">
        <f>N9*B10</f>
        <v>26869.655172413797</v>
      </c>
      <c r="O10" s="74"/>
      <c r="P10" s="74">
        <f>P9*B10</f>
        <v>25078.34482758621</v>
      </c>
      <c r="Q10" s="74"/>
      <c r="R10" s="74">
        <f>R9*B10</f>
        <v>23287.03448275862</v>
      </c>
      <c r="S10" s="74"/>
      <c r="T10" s="74">
        <f>T9*B10</f>
        <v>21495.724137931036</v>
      </c>
      <c r="U10" s="74"/>
      <c r="V10" s="74">
        <f>V9*B10</f>
        <v>19704.413793103449</v>
      </c>
      <c r="W10" s="74"/>
      <c r="X10" s="74">
        <f>X9*B10</f>
        <v>17913.103448275866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</row>
    <row r="11" spans="1:110" s="77" customFormat="1" x14ac:dyDescent="0.2">
      <c r="A11" s="87" t="s">
        <v>109</v>
      </c>
      <c r="B11" s="78"/>
      <c r="C11" s="78"/>
      <c r="D11" s="78">
        <f>D9*B7</f>
        <v>326979.31034482765</v>
      </c>
      <c r="E11" s="78"/>
      <c r="F11" s="78">
        <f>F9*B7</f>
        <v>310630.34482758626</v>
      </c>
      <c r="G11" s="78"/>
      <c r="H11" s="78">
        <f>H9*B7</f>
        <v>294281.37931034487</v>
      </c>
      <c r="I11" s="78"/>
      <c r="J11" s="78">
        <f>J9*B7</f>
        <v>277932.41379310342</v>
      </c>
      <c r="K11" s="78"/>
      <c r="L11" s="78">
        <f>L9*B7</f>
        <v>261583.44827586209</v>
      </c>
      <c r="M11" s="78"/>
      <c r="N11" s="78">
        <f>N9*B7</f>
        <v>245234.48275862075</v>
      </c>
      <c r="O11" s="78"/>
      <c r="P11" s="78">
        <f>P9*B7</f>
        <v>228885.51724137933</v>
      </c>
      <c r="Q11" s="78"/>
      <c r="R11" s="78">
        <f>R9*B7</f>
        <v>212536.55172413794</v>
      </c>
      <c r="S11" s="78"/>
      <c r="T11" s="78">
        <f>T9*B7</f>
        <v>196187.58620689655</v>
      </c>
      <c r="U11" s="78"/>
      <c r="V11" s="78">
        <f>V9*B7</f>
        <v>179838.62068965519</v>
      </c>
      <c r="W11" s="78"/>
      <c r="X11" s="78">
        <f>X9*B7</f>
        <v>163489.65517241383</v>
      </c>
      <c r="Y11" s="78"/>
      <c r="Z11" s="78">
        <f>Z9*B7</f>
        <v>147140.68965517243</v>
      </c>
      <c r="AA11" s="78"/>
      <c r="AB11" s="78">
        <f>AB9*B7</f>
        <v>130791.72413793104</v>
      </c>
      <c r="AC11" s="78"/>
      <c r="AD11" s="78">
        <f>AD9*B7</f>
        <v>114442.75862068967</v>
      </c>
      <c r="AE11" s="78"/>
      <c r="AF11" s="78">
        <f>AF9*B7</f>
        <v>98093.793103448275</v>
      </c>
      <c r="AG11" s="78"/>
      <c r="AH11" s="78">
        <f>AH9*B7</f>
        <v>81744.827586206913</v>
      </c>
      <c r="AI11" s="78"/>
      <c r="AJ11" s="78">
        <f>AJ9*B7</f>
        <v>65395.862068965522</v>
      </c>
      <c r="AK11" s="78"/>
      <c r="AL11" s="78">
        <f>AL9*B7</f>
        <v>49046.896551724138</v>
      </c>
      <c r="AM11" s="78"/>
      <c r="AN11" s="78">
        <f>AN9*B7</f>
        <v>32697.931034482761</v>
      </c>
      <c r="AO11" s="78"/>
      <c r="AP11" s="78">
        <f>AP9*B7</f>
        <v>16348.96551724138</v>
      </c>
      <c r="AQ11" s="78"/>
      <c r="AR11" s="78">
        <f>AR9*B7</f>
        <v>0</v>
      </c>
    </row>
    <row r="13" spans="1:110" x14ac:dyDescent="0.2">
      <c r="A13" s="70" t="s">
        <v>110</v>
      </c>
    </row>
    <row r="15" spans="1:110" x14ac:dyDescent="0.2">
      <c r="A15" s="70" t="s">
        <v>123</v>
      </c>
    </row>
    <row r="19" spans="4:4" x14ac:dyDescent="0.2">
      <c r="D19" s="75"/>
    </row>
  </sheetData>
  <pageMargins left="0.7" right="0.7" top="0.78740157499999996" bottom="0.78740157499999996" header="0.3" footer="0.3"/>
  <pageSetup paperSize="9" scale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Graue Energie_CO2</vt:lpstr>
      <vt:lpstr>Betriebsenergie_CO2</vt:lpstr>
      <vt:lpstr>Impactvergleich</vt:lpstr>
      <vt:lpstr>C02 Budgets Zürich</vt:lpstr>
      <vt:lpstr>Impactvergleich!Druckbereich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Oliveira Gustavo (UGZ)</dc:creator>
  <cp:lastModifiedBy>Microsoft Office User</cp:lastModifiedBy>
  <dcterms:created xsi:type="dcterms:W3CDTF">2013-11-08T21:43:31Z</dcterms:created>
  <dcterms:modified xsi:type="dcterms:W3CDTF">2022-11-22T20:31:35Z</dcterms:modified>
</cp:coreProperties>
</file>